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7668"/>
  <workbookPr filterPrivacy="1"/>
  <bookViews>
    <workbookView xWindow="0" yWindow="0" windowWidth="22260" windowHeight="12645"/>
  </bookViews>
  <sheets>
    <sheet name="Steam Cycle (reheat)" sheetId="1" r:id="rId1"/>
    <sheet name="Steam cycle (extractions)" sheetId="2" r:id="rId2"/>
    <sheet name="Steam cycle (backpressure)" sheetId="3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35" i="1" l="1"/>
  <c r="G33" i="1" l="1"/>
  <c r="D33" i="1"/>
  <c r="G38" i="1"/>
  <c r="B45" i="1" s="1"/>
  <c r="B41" i="1" s="1"/>
  <c r="G45" i="1" s="1"/>
  <c r="D45" i="1" s="1"/>
  <c r="G36" i="1"/>
  <c r="D49" i="1" l="1"/>
  <c r="D51" i="1"/>
  <c r="E39" i="2"/>
  <c r="D46" i="3" l="1"/>
  <c r="D49" i="2"/>
  <c r="D34" i="3"/>
  <c r="D42" i="3" l="1"/>
  <c r="H24" i="3"/>
  <c r="D52" i="2"/>
  <c r="D48" i="2"/>
  <c r="D43" i="2"/>
  <c r="G29" i="3" l="1"/>
  <c r="D33" i="3" s="1"/>
  <c r="D38" i="3" l="1"/>
  <c r="F52" i="2"/>
  <c r="D53" i="2" s="1"/>
  <c r="E35" i="2"/>
  <c r="D30" i="2"/>
  <c r="D29" i="2"/>
  <c r="D56" i="2" s="1"/>
  <c r="F51" i="1" l="1"/>
  <c r="F49" i="1"/>
  <c r="D57" i="2"/>
  <c r="F57" i="2" s="1"/>
  <c r="D58" i="2" s="1"/>
  <c r="F56" i="2"/>
  <c r="D52" i="1" l="1"/>
  <c r="D53" i="1" s="1"/>
</calcChain>
</file>

<file path=xl/sharedStrings.xml><?xml version="1.0" encoding="utf-8"?>
<sst xmlns="http://schemas.openxmlformats.org/spreadsheetml/2006/main" count="183" uniqueCount="109">
  <si>
    <t>ma=</t>
  </si>
  <si>
    <t>kg/s</t>
  </si>
  <si>
    <t>H.fwt=</t>
  </si>
  <si>
    <t>kJ/kg</t>
  </si>
  <si>
    <t>η isentropic</t>
  </si>
  <si>
    <t>η mechanical</t>
  </si>
  <si>
    <t>η generator</t>
  </si>
  <si>
    <t>η thermal</t>
  </si>
  <si>
    <t>HP Preheater</t>
  </si>
  <si>
    <t>m total=</t>
  </si>
  <si>
    <t>Considering isentropic efficiency (real),</t>
  </si>
  <si>
    <t>h inlet turbine =</t>
  </si>
  <si>
    <t>h outlet turbine real=</t>
  </si>
  <si>
    <t>ha=</t>
  </si>
  <si>
    <t>hb=</t>
  </si>
  <si>
    <t>hc=</t>
  </si>
  <si>
    <t>ha sat (6)=</t>
  </si>
  <si>
    <t>ha sat (20)=</t>
  </si>
  <si>
    <t>FWT</t>
  </si>
  <si>
    <t>LP Preheater</t>
  </si>
  <si>
    <t>(m total - ma-mb) x (h fwt - h sat(0.8)) = mc x (hc - h sat (1.5))</t>
  </si>
  <si>
    <t>ha sat (0.8)=</t>
  </si>
  <si>
    <t>ha sat (1.5)=</t>
  </si>
  <si>
    <t>m c =</t>
  </si>
  <si>
    <t>m b =</t>
  </si>
  <si>
    <t>Turbine</t>
  </si>
  <si>
    <t>PT gross=</t>
  </si>
  <si>
    <t>m total (h in - ha) + (m-ma)(ha-hb) + (m-ma-mb)(hb-hc)+ (m -ma-mb-mc)(hc - h out turbine)</t>
  </si>
  <si>
    <t>P net =</t>
  </si>
  <si>
    <t>Boiler</t>
  </si>
  <si>
    <t>kW</t>
  </si>
  <si>
    <t>MW</t>
  </si>
  <si>
    <t>Q boiler =</t>
  </si>
  <si>
    <t>Q fuel =</t>
  </si>
  <si>
    <t>η elec total=</t>
  </si>
  <si>
    <t>Data Set Nr</t>
  </si>
  <si>
    <t>AA</t>
  </si>
  <si>
    <t>BB</t>
  </si>
  <si>
    <t>CC</t>
  </si>
  <si>
    <t>η isentropic LP</t>
  </si>
  <si>
    <t>η isentropic HP</t>
  </si>
  <si>
    <t>mass feed water</t>
  </si>
  <si>
    <t>graph</t>
  </si>
  <si>
    <t>steam table</t>
  </si>
  <si>
    <t>h1 =</t>
  </si>
  <si>
    <t>h2 =</t>
  </si>
  <si>
    <t>h2 is =</t>
  </si>
  <si>
    <t>h3 =</t>
  </si>
  <si>
    <t>h4 is =</t>
  </si>
  <si>
    <t>h4 =</t>
  </si>
  <si>
    <t>h6 =</t>
  </si>
  <si>
    <t>h7 =</t>
  </si>
  <si>
    <t>C</t>
  </si>
  <si>
    <t>Cp water</t>
  </si>
  <si>
    <t>kJ/ kg K</t>
  </si>
  <si>
    <t>Feedwater tank</t>
  </si>
  <si>
    <t>h x =</t>
  </si>
  <si>
    <t xml:space="preserve">h y = </t>
  </si>
  <si>
    <t>my =</t>
  </si>
  <si>
    <t>From HP</t>
  </si>
  <si>
    <t>From LP</t>
  </si>
  <si>
    <t>PT gross LP =</t>
  </si>
  <si>
    <t>PT gross HP=</t>
  </si>
  <si>
    <t>P gross total=</t>
  </si>
  <si>
    <t>graph and steam table</t>
  </si>
  <si>
    <t>H sat (40 bar steam)</t>
  </si>
  <si>
    <t>Mass superheater (msh)</t>
  </si>
  <si>
    <t>Fuel flow</t>
  </si>
  <si>
    <t>T increase district water heating</t>
  </si>
  <si>
    <t>District heating water flow</t>
  </si>
  <si>
    <t>m3/ min</t>
  </si>
  <si>
    <t>msat=</t>
  </si>
  <si>
    <t>mfw=</t>
  </si>
  <si>
    <t>η boiler=</t>
  </si>
  <si>
    <t>Hsh in</t>
  </si>
  <si>
    <t>H fuel</t>
  </si>
  <si>
    <t>Condenser</t>
  </si>
  <si>
    <t>h outlet turbine=</t>
  </si>
  <si>
    <t>Density</t>
  </si>
  <si>
    <t>kg/m3</t>
  </si>
  <si>
    <t>η isentropic=</t>
  </si>
  <si>
    <t>h outlet turbine, is</t>
  </si>
  <si>
    <t>Total</t>
  </si>
  <si>
    <t>m total x  h sat(6) = mb x hb + ma x h sat (20) + (m total - ma - mb) x h fwt</t>
  </si>
  <si>
    <t>m total  x (hout pre - ha sat 6) = ma x (ha - ha sat 20)</t>
  </si>
  <si>
    <t>h out pre =</t>
  </si>
  <si>
    <t>h outlet turbine, is =</t>
  </si>
  <si>
    <t>h fw out (sat, 4 bar) =</t>
  </si>
  <si>
    <t>(msh + msat).hfw out = msh. Hsh out + msat. Hsat</t>
  </si>
  <si>
    <t>η boiler. M fuel. Hfuel + (msat + msh). Hfw out = msat. H sat + msh. Hsh in</t>
  </si>
  <si>
    <t>h cond out(sat, 1.2 bar)</t>
  </si>
  <si>
    <t>m Cp water Delta T = msh (h outlet turbine - h cond out)</t>
  </si>
  <si>
    <t>m fw entering fwt=</t>
  </si>
  <si>
    <t>T after closed preheater LP</t>
  </si>
  <si>
    <t>T after closed preheater HP</t>
  </si>
  <si>
    <t>h z =</t>
  </si>
  <si>
    <t>h5, sat liq 0.05=</t>
  </si>
  <si>
    <t>h8, sat liq 10 =</t>
  </si>
  <si>
    <t>h9=</t>
  </si>
  <si>
    <t>h10, sat liq 30=</t>
  </si>
  <si>
    <t>h11, sat liq 2=</t>
  </si>
  <si>
    <t>m tot (h9-h8)= mx (hx - h10)</t>
  </si>
  <si>
    <t>mx=</t>
  </si>
  <si>
    <t>mz =</t>
  </si>
  <si>
    <t>P gross= m tot (h1-hx) + (mtot - mx) (hx-h2)</t>
  </si>
  <si>
    <t>P gross = (m tot-mx) (h3-hy) + (mtot-mx-my) (hy-hz) + (m tot-mx-my-mz) (hz-h4)</t>
  </si>
  <si>
    <t>m tot. h8 = my. Hy + mx h10 + (mtot - mx - my) h7</t>
  </si>
  <si>
    <t>(mtot - my-mx) (h7-h6) = mz (hz - h11)</t>
  </si>
  <si>
    <t>m tot-my-mx=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</si>
</sst>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0.0%"/>
    <numFmt numFmtId="165" formatCode="0.000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 tint="-0.24997711111789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26">
    <xf numFmtId="0" fontId="0" fillId="0" borderId="0" xfId="0"/>
    <xf numFmtId="0" fontId="0" fillId="2" borderId="0" xfId="0" applyFill="1"/>
    <xf numFmtId="0" fontId="0" fillId="0" borderId="0" xfId="0" applyFill="1"/>
    <xf numFmtId="0" fontId="2" fillId="0" borderId="0" xfId="0" applyFont="1"/>
    <xf numFmtId="0" fontId="0" fillId="0" borderId="0" xfId="0" applyNumberFormat="1"/>
    <xf numFmtId="0" fontId="0" fillId="2" borderId="0" xfId="0" applyNumberFormat="1" applyFill="1"/>
    <xf numFmtId="2" fontId="0" fillId="0" borderId="0" xfId="0" applyNumberFormat="1"/>
    <xf numFmtId="0" fontId="0" fillId="0" borderId="0" xfId="0" applyNumberFormat="1" applyFill="1"/>
    <xf numFmtId="0" fontId="0" fillId="3" borderId="0" xfId="0" applyFill="1"/>
    <xf numFmtId="0" fontId="0" fillId="3" borderId="0" xfId="0" applyNumberFormat="1" applyFill="1"/>
    <xf numFmtId="0" fontId="0" fillId="0" borderId="0" xfId="0" applyAlignment="1">
      <alignment horizontal="right"/>
    </xf>
    <xf numFmtId="0" fontId="0" fillId="4" borderId="0" xfId="0" applyFill="1"/>
    <xf numFmtId="0" fontId="0" fillId="5" borderId="0" xfId="0" applyFill="1"/>
    <xf numFmtId="2" fontId="0" fillId="2" borderId="0" xfId="0" applyNumberFormat="1" applyFill="1"/>
    <xf numFmtId="0" fontId="3" fillId="0" borderId="0" xfId="0" applyFont="1"/>
    <xf numFmtId="0" fontId="0" fillId="4" borderId="0" xfId="0" applyFont="1" applyFill="1"/>
    <xf numFmtId="10" fontId="0" fillId="2" borderId="0" xfId="1" applyNumberFormat="1" applyFont="1" applyFill="1"/>
    <xf numFmtId="0" fontId="0" fillId="5" borderId="0" xfId="0" applyFont="1" applyFill="1"/>
    <xf numFmtId="2" fontId="0" fillId="0" borderId="0" xfId="0" applyNumberFormat="1" applyFill="1"/>
    <xf numFmtId="164" fontId="0" fillId="2" borderId="0" xfId="1" applyNumberFormat="1" applyFont="1" applyFill="1"/>
    <xf numFmtId="0" fontId="3" fillId="5" borderId="0" xfId="0" applyFont="1" applyFill="1"/>
    <xf numFmtId="0" fontId="2" fillId="5" borderId="0" xfId="0" applyFont="1" applyFill="1"/>
    <xf numFmtId="165" fontId="0" fillId="2" borderId="0" xfId="0" applyNumberFormat="1" applyFill="1"/>
    <xf numFmtId="0" fontId="0" fillId="0" borderId="0" xfId="0" applyFont="1" applyFill="1"/>
    <xf numFmtId="0" fontId="3" fillId="0" borderId="0" xfId="0" applyFont="1" applyFill="1"/>
    <xf numFmtId="2" fontId="0" fillId="0" borderId="0" xfId="1" applyNumberFormat="1" applyFont="1" applyFill="1"/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1.emf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1.emf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476250</xdr:colOff>
      <xdr:row>29</xdr:row>
      <xdr:rowOff>47624</xdr:rowOff>
    </xdr:from>
    <xdr:to>
      <xdr:col>17</xdr:col>
      <xdr:colOff>72200</xdr:colOff>
      <xdr:row>69</xdr:row>
      <xdr:rowOff>45893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538CD9D-8A4A-4F50-A8B3-5F80CC5AAD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43625" y="5953124"/>
          <a:ext cx="5768150" cy="7618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402542</xdr:colOff>
      <xdr:row>40</xdr:row>
      <xdr:rowOff>68387</xdr:rowOff>
    </xdr:from>
    <xdr:to>
      <xdr:col>11</xdr:col>
      <xdr:colOff>402542</xdr:colOff>
      <xdr:row>49</xdr:row>
      <xdr:rowOff>132522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AC7AD209-71FA-4822-BDEE-A0FDBEB6F2E8}"/>
            </a:ext>
          </a:extLst>
        </xdr:cNvPr>
        <xdr:cNvCxnSpPr/>
      </xdr:nvCxnSpPr>
      <xdr:spPr>
        <a:xfrm>
          <a:off x="8478085" y="7688387"/>
          <a:ext cx="0" cy="1778635"/>
        </a:xfrm>
        <a:prstGeom prst="line">
          <a:avLst/>
        </a:prstGeom>
        <a:ln w="28575">
          <a:prstDash val="solid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403266</xdr:colOff>
      <xdr:row>40</xdr:row>
      <xdr:rowOff>76200</xdr:rowOff>
    </xdr:from>
    <xdr:to>
      <xdr:col>12</xdr:col>
      <xdr:colOff>16565</xdr:colOff>
      <xdr:row>47</xdr:row>
      <xdr:rowOff>149087</xdr:rowOff>
    </xdr:to>
    <xdr:cxnSp macro="">
      <xdr:nvCxnSpPr>
        <xdr:cNvPr id="15" name="Straight Connector 14">
          <a:extLst>
            <a:ext uri="{FF2B5EF4-FFF2-40B4-BE49-F238E27FC236}">
              <a16:creationId xmlns:a16="http://schemas.microsoft.com/office/drawing/2014/main" id="{AC3AA316-0AD4-4115-B009-43CBF11B656A}"/>
            </a:ext>
          </a:extLst>
        </xdr:cNvPr>
        <xdr:cNvCxnSpPr/>
      </xdr:nvCxnSpPr>
      <xdr:spPr>
        <a:xfrm>
          <a:off x="8478809" y="7696200"/>
          <a:ext cx="226213" cy="1406387"/>
        </a:xfrm>
        <a:prstGeom prst="line">
          <a:avLst/>
        </a:prstGeom>
        <a:ln w="28575">
          <a:solidFill>
            <a:schemeClr val="accent6">
              <a:lumMod val="75000"/>
            </a:schemeClr>
          </a:solidFill>
          <a:prstDash val="solid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124876</xdr:colOff>
      <xdr:row>38</xdr:row>
      <xdr:rowOff>13572</xdr:rowOff>
    </xdr:from>
    <xdr:to>
      <xdr:col>13</xdr:col>
      <xdr:colOff>388997</xdr:colOff>
      <xdr:row>38</xdr:row>
      <xdr:rowOff>13572</xdr:rowOff>
    </xdr:to>
    <xdr:cxnSp macro="">
      <xdr:nvCxnSpPr>
        <xdr:cNvPr id="20" name="Straight Connector 19">
          <a:extLst>
            <a:ext uri="{FF2B5EF4-FFF2-40B4-BE49-F238E27FC236}">
              <a16:creationId xmlns:a16="http://schemas.microsoft.com/office/drawing/2014/main" id="{217AE939-450C-4398-BE67-1B92A681AF69}"/>
            </a:ext>
          </a:extLst>
        </xdr:cNvPr>
        <xdr:cNvCxnSpPr/>
      </xdr:nvCxnSpPr>
      <xdr:spPr>
        <a:xfrm>
          <a:off x="7122088" y="7252572"/>
          <a:ext cx="2696659" cy="0"/>
        </a:xfrm>
        <a:prstGeom prst="line">
          <a:avLst/>
        </a:prstGeom>
        <a:ln w="285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648412</xdr:colOff>
      <xdr:row>0</xdr:row>
      <xdr:rowOff>133350</xdr:rowOff>
    </xdr:from>
    <xdr:to>
      <xdr:col>5</xdr:col>
      <xdr:colOff>586067</xdr:colOff>
      <xdr:row>21</xdr:row>
      <xdr:rowOff>185416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FBD9E84-DD48-4970-96A7-7D10CC130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8412" y="133350"/>
          <a:ext cx="4809413" cy="4052566"/>
        </a:xfrm>
        <a:prstGeom prst="rect">
          <a:avLst/>
        </a:prstGeom>
      </xdr:spPr>
    </xdr:pic>
    <xdr:clientData/>
  </xdr:twoCellAnchor>
  <xdr:twoCellAnchor>
    <xdr:from>
      <xdr:col>1</xdr:col>
      <xdr:colOff>507065</xdr:colOff>
      <xdr:row>8</xdr:row>
      <xdr:rowOff>49306</xdr:rowOff>
    </xdr:from>
    <xdr:to>
      <xdr:col>1</xdr:col>
      <xdr:colOff>1488140</xdr:colOff>
      <xdr:row>11</xdr:row>
      <xdr:rowOff>144557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9EF0BD68-5A3A-41BB-94FB-2E424771E8A5}"/>
            </a:ext>
          </a:extLst>
        </xdr:cNvPr>
        <xdr:cNvSpPr/>
      </xdr:nvSpPr>
      <xdr:spPr>
        <a:xfrm>
          <a:off x="1112183" y="1573306"/>
          <a:ext cx="981075" cy="666751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P =</a:t>
          </a:r>
          <a:r>
            <a:rPr lang="en-US" sz="1100" baseline="0">
              <a:solidFill>
                <a:schemeClr val="tx1"/>
              </a:solidFill>
            </a:rPr>
            <a:t> 165 bar</a:t>
          </a:r>
        </a:p>
        <a:p>
          <a:pPr algn="l"/>
          <a:r>
            <a:rPr lang="en-US" sz="1100" baseline="0">
              <a:solidFill>
                <a:schemeClr val="tx1"/>
              </a:solidFill>
            </a:rPr>
            <a:t>T = 560 C</a:t>
          </a:r>
        </a:p>
        <a:p>
          <a:pPr algn="l"/>
          <a:r>
            <a:rPr lang="en-US" sz="1100" baseline="0">
              <a:solidFill>
                <a:schemeClr val="tx1"/>
              </a:solidFill>
            </a:rPr>
            <a:t>m = 200 kg/s</a:t>
          </a:r>
          <a:endParaRPr 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1362634</xdr:colOff>
      <xdr:row>0</xdr:row>
      <xdr:rowOff>0</xdr:rowOff>
    </xdr:from>
    <xdr:to>
      <xdr:col>2</xdr:col>
      <xdr:colOff>724459</xdr:colOff>
      <xdr:row>2</xdr:row>
      <xdr:rowOff>76200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F6198556-FADB-4DF8-8B9F-D8229BA90408}"/>
            </a:ext>
          </a:extLst>
        </xdr:cNvPr>
        <xdr:cNvSpPr/>
      </xdr:nvSpPr>
      <xdr:spPr>
        <a:xfrm>
          <a:off x="1967752" y="0"/>
          <a:ext cx="941854" cy="45720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P =</a:t>
          </a:r>
          <a:r>
            <a:rPr lang="en-US" sz="1100" baseline="0">
              <a:solidFill>
                <a:schemeClr val="tx1"/>
              </a:solidFill>
            </a:rPr>
            <a:t> 30 bar</a:t>
          </a:r>
        </a:p>
        <a:p>
          <a:pPr algn="l"/>
          <a:r>
            <a:rPr lang="en-US" sz="1100" baseline="0">
              <a:solidFill>
                <a:schemeClr val="tx1"/>
              </a:solidFill>
            </a:rPr>
            <a:t>T = 560 C</a:t>
          </a:r>
        </a:p>
      </xdr:txBody>
    </xdr:sp>
    <xdr:clientData/>
  </xdr:twoCellAnchor>
  <xdr:twoCellAnchor>
    <xdr:from>
      <xdr:col>4</xdr:col>
      <xdr:colOff>356347</xdr:colOff>
      <xdr:row>9</xdr:row>
      <xdr:rowOff>112058</xdr:rowOff>
    </xdr:from>
    <xdr:to>
      <xdr:col>5</xdr:col>
      <xdr:colOff>649941</xdr:colOff>
      <xdr:row>10</xdr:row>
      <xdr:rowOff>134471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4A2B455E-405C-4D34-8C79-B63C5294149F}"/>
            </a:ext>
          </a:extLst>
        </xdr:cNvPr>
        <xdr:cNvSpPr/>
      </xdr:nvSpPr>
      <xdr:spPr>
        <a:xfrm>
          <a:off x="3931023" y="1826558"/>
          <a:ext cx="943536" cy="212913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P =</a:t>
          </a:r>
          <a:r>
            <a:rPr lang="en-US" sz="1100" baseline="0">
              <a:solidFill>
                <a:schemeClr val="tx1"/>
              </a:solidFill>
            </a:rPr>
            <a:t> 0.15 bar</a:t>
          </a:r>
        </a:p>
      </xdr:txBody>
    </xdr:sp>
    <xdr:clientData/>
  </xdr:twoCellAnchor>
  <xdr:twoCellAnchor>
    <xdr:from>
      <xdr:col>2</xdr:col>
      <xdr:colOff>756397</xdr:colOff>
      <xdr:row>13</xdr:row>
      <xdr:rowOff>9524</xdr:rowOff>
    </xdr:from>
    <xdr:to>
      <xdr:col>4</xdr:col>
      <xdr:colOff>73961</xdr:colOff>
      <xdr:row>14</xdr:row>
      <xdr:rowOff>57149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170C17EB-951F-4565-B749-CDBD69F895D5}"/>
            </a:ext>
          </a:extLst>
        </xdr:cNvPr>
        <xdr:cNvSpPr/>
      </xdr:nvSpPr>
      <xdr:spPr>
        <a:xfrm>
          <a:off x="2941544" y="2486024"/>
          <a:ext cx="707093" cy="238125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P =</a:t>
          </a:r>
          <a:r>
            <a:rPr lang="en-US" sz="1100" baseline="0">
              <a:solidFill>
                <a:schemeClr val="tx1"/>
              </a:solidFill>
            </a:rPr>
            <a:t> 2 bar</a:t>
          </a:r>
        </a:p>
      </xdr:txBody>
    </xdr:sp>
    <xdr:clientData/>
  </xdr:twoCellAnchor>
  <xdr:twoCellAnchor>
    <xdr:from>
      <xdr:col>1</xdr:col>
      <xdr:colOff>1030940</xdr:colOff>
      <xdr:row>3</xdr:row>
      <xdr:rowOff>62753</xdr:rowOff>
    </xdr:from>
    <xdr:to>
      <xdr:col>2</xdr:col>
      <xdr:colOff>206189</xdr:colOff>
      <xdr:row>4</xdr:row>
      <xdr:rowOff>156883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09A71E79-037E-4DF3-9853-4FA7C0395EF0}"/>
            </a:ext>
          </a:extLst>
        </xdr:cNvPr>
        <xdr:cNvSpPr/>
      </xdr:nvSpPr>
      <xdr:spPr>
        <a:xfrm>
          <a:off x="1636058" y="634253"/>
          <a:ext cx="755278" cy="28463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P =</a:t>
          </a:r>
          <a:r>
            <a:rPr lang="en-US" sz="1100" baseline="0">
              <a:solidFill>
                <a:schemeClr val="tx1"/>
              </a:solidFill>
            </a:rPr>
            <a:t> 30 bar</a:t>
          </a:r>
        </a:p>
      </xdr:txBody>
    </xdr:sp>
    <xdr:clientData/>
  </xdr:twoCellAnchor>
  <xdr:twoCellAnchor>
    <xdr:from>
      <xdr:col>13</xdr:col>
      <xdr:colOff>358287</xdr:colOff>
      <xdr:row>38</xdr:row>
      <xdr:rowOff>3739</xdr:rowOff>
    </xdr:from>
    <xdr:to>
      <xdr:col>13</xdr:col>
      <xdr:colOff>358287</xdr:colOff>
      <xdr:row>61</xdr:row>
      <xdr:rowOff>165652</xdr:rowOff>
    </xdr:to>
    <xdr:cxnSp macro="">
      <xdr:nvCxnSpPr>
        <xdr:cNvPr id="21" name="Straight Connector 20">
          <a:extLst>
            <a:ext uri="{FF2B5EF4-FFF2-40B4-BE49-F238E27FC236}">
              <a16:creationId xmlns:a16="http://schemas.microsoft.com/office/drawing/2014/main" id="{FDC28403-6DA9-43B3-A173-B20ACF8B936B}"/>
            </a:ext>
          </a:extLst>
        </xdr:cNvPr>
        <xdr:cNvCxnSpPr/>
      </xdr:nvCxnSpPr>
      <xdr:spPr>
        <a:xfrm>
          <a:off x="9825309" y="7242739"/>
          <a:ext cx="0" cy="4543413"/>
        </a:xfrm>
        <a:prstGeom prst="line">
          <a:avLst/>
        </a:prstGeom>
        <a:ln w="28575">
          <a:prstDash val="solid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364435</xdr:colOff>
      <xdr:row>38</xdr:row>
      <xdr:rowOff>8283</xdr:rowOff>
    </xdr:from>
    <xdr:to>
      <xdr:col>15</xdr:col>
      <xdr:colOff>140804</xdr:colOff>
      <xdr:row>58</xdr:row>
      <xdr:rowOff>8283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5D26E8E2-0E17-447C-B543-E8516206FD3B}"/>
            </a:ext>
          </a:extLst>
        </xdr:cNvPr>
        <xdr:cNvCxnSpPr/>
      </xdr:nvCxnSpPr>
      <xdr:spPr>
        <a:xfrm>
          <a:off x="9831457" y="7247283"/>
          <a:ext cx="1002195" cy="3810000"/>
        </a:xfrm>
        <a:prstGeom prst="line">
          <a:avLst/>
        </a:prstGeom>
        <a:ln w="28575">
          <a:solidFill>
            <a:schemeClr val="accent6">
              <a:lumMod val="75000"/>
            </a:schemeClr>
          </a:solidFill>
          <a:prstDash val="solid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9525</xdr:colOff>
      <xdr:row>29</xdr:row>
      <xdr:rowOff>123825</xdr:rowOff>
    </xdr:from>
    <xdr:to>
      <xdr:col>8</xdr:col>
      <xdr:colOff>657225</xdr:colOff>
      <xdr:row>29</xdr:row>
      <xdr:rowOff>152400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62F3FC65-F866-43FE-90AA-5176B51961E3}"/>
            </a:ext>
          </a:extLst>
        </xdr:cNvPr>
        <xdr:cNvCxnSpPr/>
      </xdr:nvCxnSpPr>
      <xdr:spPr>
        <a:xfrm>
          <a:off x="4610100" y="5457825"/>
          <a:ext cx="2019300" cy="28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285750</xdr:colOff>
      <xdr:row>19</xdr:row>
      <xdr:rowOff>9524</xdr:rowOff>
    </xdr:from>
    <xdr:to>
      <xdr:col>3</xdr:col>
      <xdr:colOff>245968</xdr:colOff>
      <xdr:row>20</xdr:row>
      <xdr:rowOff>123825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2B885383-0D81-4EF3-AC8A-203D4E7FB848}"/>
            </a:ext>
          </a:extLst>
        </xdr:cNvPr>
        <xdr:cNvSpPr/>
      </xdr:nvSpPr>
      <xdr:spPr>
        <a:xfrm>
          <a:off x="2476500" y="3629024"/>
          <a:ext cx="722218" cy="304801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T =</a:t>
          </a:r>
          <a:r>
            <a:rPr lang="en-US" sz="1100" baseline="0">
              <a:solidFill>
                <a:schemeClr val="tx1"/>
              </a:solidFill>
            </a:rPr>
            <a:t> 140 C</a:t>
          </a:r>
        </a:p>
      </xdr:txBody>
    </xdr:sp>
    <xdr:clientData/>
  </xdr:twoCellAnchor>
  <xdr:twoCellAnchor>
    <xdr:from>
      <xdr:col>8</xdr:col>
      <xdr:colOff>324105</xdr:colOff>
      <xdr:row>47</xdr:row>
      <xdr:rowOff>130611</xdr:rowOff>
    </xdr:from>
    <xdr:to>
      <xdr:col>12</xdr:col>
      <xdr:colOff>517186</xdr:colOff>
      <xdr:row>47</xdr:row>
      <xdr:rowOff>130611</xdr:rowOff>
    </xdr:to>
    <xdr:cxnSp macro="">
      <xdr:nvCxnSpPr>
        <xdr:cNvPr id="25" name="Straight Connector 24">
          <a:extLst>
            <a:ext uri="{FF2B5EF4-FFF2-40B4-BE49-F238E27FC236}">
              <a16:creationId xmlns:a16="http://schemas.microsoft.com/office/drawing/2014/main" id="{FDDC2B38-D8F9-4FFF-9518-A6A0525D5078}"/>
            </a:ext>
          </a:extLst>
        </xdr:cNvPr>
        <xdr:cNvCxnSpPr/>
      </xdr:nvCxnSpPr>
      <xdr:spPr>
        <a:xfrm>
          <a:off x="6560909" y="9084111"/>
          <a:ext cx="2644734" cy="0"/>
        </a:xfrm>
        <a:prstGeom prst="line">
          <a:avLst/>
        </a:prstGeom>
        <a:ln w="285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109521</xdr:colOff>
      <xdr:row>61</xdr:row>
      <xdr:rowOff>156574</xdr:rowOff>
    </xdr:from>
    <xdr:to>
      <xdr:col>13</xdr:col>
      <xdr:colOff>378420</xdr:colOff>
      <xdr:row>61</xdr:row>
      <xdr:rowOff>156574</xdr:rowOff>
    </xdr:to>
    <xdr:cxnSp macro="">
      <xdr:nvCxnSpPr>
        <xdr:cNvPr id="28" name="Straight Connector 27">
          <a:extLst>
            <a:ext uri="{FF2B5EF4-FFF2-40B4-BE49-F238E27FC236}">
              <a16:creationId xmlns:a16="http://schemas.microsoft.com/office/drawing/2014/main" id="{DEE8A300-DEF4-4F5C-A6AA-7F5ABB07CDC1}"/>
            </a:ext>
          </a:extLst>
        </xdr:cNvPr>
        <xdr:cNvCxnSpPr/>
      </xdr:nvCxnSpPr>
      <xdr:spPr>
        <a:xfrm>
          <a:off x="7106733" y="11777074"/>
          <a:ext cx="2701437" cy="0"/>
        </a:xfrm>
        <a:prstGeom prst="line">
          <a:avLst/>
        </a:prstGeom>
        <a:ln w="285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107749</xdr:colOff>
      <xdr:row>30</xdr:row>
      <xdr:rowOff>87752</xdr:rowOff>
    </xdr:from>
    <xdr:to>
      <xdr:col>16</xdr:col>
      <xdr:colOff>205197</xdr:colOff>
      <xdr:row>30</xdr:row>
      <xdr:rowOff>87752</xdr:rowOff>
    </xdr:to>
    <xdr:cxnSp macro="">
      <xdr:nvCxnSpPr>
        <xdr:cNvPr id="31" name="Straight Connector 30">
          <a:extLst>
            <a:ext uri="{FF2B5EF4-FFF2-40B4-BE49-F238E27FC236}">
              <a16:creationId xmlns:a16="http://schemas.microsoft.com/office/drawing/2014/main" id="{91C22458-6361-48D5-8B81-95090BDF699B}"/>
            </a:ext>
          </a:extLst>
        </xdr:cNvPr>
        <xdr:cNvCxnSpPr/>
      </xdr:nvCxnSpPr>
      <xdr:spPr>
        <a:xfrm>
          <a:off x="7436396" y="5612252"/>
          <a:ext cx="4198801" cy="0"/>
        </a:xfrm>
        <a:prstGeom prst="line">
          <a:avLst/>
        </a:prstGeom>
        <a:ln w="285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512694</xdr:colOff>
      <xdr:row>40</xdr:row>
      <xdr:rowOff>145520</xdr:rowOff>
    </xdr:from>
    <xdr:to>
      <xdr:col>15</xdr:col>
      <xdr:colOff>2008</xdr:colOff>
      <xdr:row>40</xdr:row>
      <xdr:rowOff>145520</xdr:rowOff>
    </xdr:to>
    <xdr:cxnSp macro="">
      <xdr:nvCxnSpPr>
        <xdr:cNvPr id="33" name="Straight Connector 32">
          <a:extLst>
            <a:ext uri="{FF2B5EF4-FFF2-40B4-BE49-F238E27FC236}">
              <a16:creationId xmlns:a16="http://schemas.microsoft.com/office/drawing/2014/main" id="{77F3C010-49C1-4837-918A-F67A61321956}"/>
            </a:ext>
          </a:extLst>
        </xdr:cNvPr>
        <xdr:cNvCxnSpPr/>
      </xdr:nvCxnSpPr>
      <xdr:spPr>
        <a:xfrm>
          <a:off x="6901771" y="7765520"/>
          <a:ext cx="3746256" cy="0"/>
        </a:xfrm>
        <a:prstGeom prst="line">
          <a:avLst/>
        </a:prstGeom>
        <a:ln w="285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918883</xdr:colOff>
      <xdr:row>7</xdr:row>
      <xdr:rowOff>100852</xdr:rowOff>
    </xdr:from>
    <xdr:to>
      <xdr:col>2</xdr:col>
      <xdr:colOff>190502</xdr:colOff>
      <xdr:row>17</xdr:row>
      <xdr:rowOff>112061</xdr:rowOff>
    </xdr:to>
    <xdr:cxnSp macro="">
      <xdr:nvCxnSpPr>
        <xdr:cNvPr id="9" name="Connector: Elbow 8">
          <a:extLst>
            <a:ext uri="{FF2B5EF4-FFF2-40B4-BE49-F238E27FC236}">
              <a16:creationId xmlns:a16="http://schemas.microsoft.com/office/drawing/2014/main" id="{91AE4ED5-2C0B-48BA-B09E-12C19BD7E8BB}"/>
            </a:ext>
          </a:extLst>
        </xdr:cNvPr>
        <xdr:cNvCxnSpPr/>
      </xdr:nvCxnSpPr>
      <xdr:spPr>
        <a:xfrm rot="5400000">
          <a:off x="996763" y="1966072"/>
          <a:ext cx="1916209" cy="852769"/>
        </a:xfrm>
        <a:prstGeom prst="bentConnector3">
          <a:avLst>
            <a:gd name="adj1" fmla="val 10234"/>
          </a:avLst>
        </a:prstGeom>
        <a:ln w="28575">
          <a:prstDash val="sysDash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oneCellAnchor>
    <xdr:from>
      <xdr:col>1</xdr:col>
      <xdr:colOff>997322</xdr:colOff>
      <xdr:row>11</xdr:row>
      <xdr:rowOff>123266</xdr:rowOff>
    </xdr:from>
    <xdr:ext cx="358431" cy="264560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51772893-0B00-448E-AAED-50CD72769AFD}"/>
            </a:ext>
          </a:extLst>
        </xdr:cNvPr>
        <xdr:cNvSpPr txBox="1"/>
      </xdr:nvSpPr>
      <xdr:spPr>
        <a:xfrm>
          <a:off x="1602440" y="2218766"/>
          <a:ext cx="358431" cy="2645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mx</a:t>
          </a:r>
        </a:p>
      </xdr:txBody>
    </xdr:sp>
    <xdr:clientData/>
  </xdr:oneCellAnchor>
  <xdr:twoCellAnchor>
    <xdr:from>
      <xdr:col>8</xdr:col>
      <xdr:colOff>317414</xdr:colOff>
      <xdr:row>49</xdr:row>
      <xdr:rowOff>135388</xdr:rowOff>
    </xdr:from>
    <xdr:to>
      <xdr:col>11</xdr:col>
      <xdr:colOff>428785</xdr:colOff>
      <xdr:row>49</xdr:row>
      <xdr:rowOff>135388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E1EF3DDE-42C4-4DBF-9F09-EC443CE7CFE5}"/>
            </a:ext>
          </a:extLst>
        </xdr:cNvPr>
        <xdr:cNvCxnSpPr/>
      </xdr:nvCxnSpPr>
      <xdr:spPr>
        <a:xfrm>
          <a:off x="6554218" y="9469888"/>
          <a:ext cx="1950110" cy="0"/>
        </a:xfrm>
        <a:prstGeom prst="line">
          <a:avLst/>
        </a:prstGeom>
        <a:ln w="285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246532</xdr:colOff>
      <xdr:row>0</xdr:row>
      <xdr:rowOff>0</xdr:rowOff>
    </xdr:from>
    <xdr:to>
      <xdr:col>23</xdr:col>
      <xdr:colOff>298086</xdr:colOff>
      <xdr:row>20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6970693-690E-43EC-A94E-D9349B37C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85767" y="0"/>
          <a:ext cx="9733436" cy="3810000"/>
        </a:xfrm>
        <a:prstGeom prst="rect">
          <a:avLst/>
        </a:prstGeom>
      </xdr:spPr>
    </xdr:pic>
    <xdr:clientData/>
  </xdr:twoCellAnchor>
  <xdr:twoCellAnchor>
    <xdr:from>
      <xdr:col>1</xdr:col>
      <xdr:colOff>705970</xdr:colOff>
      <xdr:row>17</xdr:row>
      <xdr:rowOff>123266</xdr:rowOff>
    </xdr:from>
    <xdr:to>
      <xdr:col>1</xdr:col>
      <xdr:colOff>1187823</xdr:colOff>
      <xdr:row>20</xdr:row>
      <xdr:rowOff>33618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76A59611-996B-4CB0-9052-8702831297BC}"/>
            </a:ext>
          </a:extLst>
        </xdr:cNvPr>
        <xdr:cNvSpPr/>
      </xdr:nvSpPr>
      <xdr:spPr>
        <a:xfrm>
          <a:off x="1311088" y="3361766"/>
          <a:ext cx="481853" cy="481852"/>
        </a:xfrm>
        <a:prstGeom prst="rect">
          <a:avLst/>
        </a:prstGeom>
        <a:ln w="28575">
          <a:solidFill>
            <a:schemeClr val="tx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567017</xdr:colOff>
      <xdr:row>13</xdr:row>
      <xdr:rowOff>47064</xdr:rowOff>
    </xdr:from>
    <xdr:to>
      <xdr:col>1</xdr:col>
      <xdr:colOff>1322295</xdr:colOff>
      <xdr:row>14</xdr:row>
      <xdr:rowOff>141194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3748EABB-43BA-4C5C-BD5E-D618E48AA3DE}"/>
            </a:ext>
          </a:extLst>
        </xdr:cNvPr>
        <xdr:cNvSpPr/>
      </xdr:nvSpPr>
      <xdr:spPr>
        <a:xfrm>
          <a:off x="1172135" y="2523564"/>
          <a:ext cx="755278" cy="284630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P =</a:t>
          </a:r>
          <a:r>
            <a:rPr lang="en-US" sz="1100" baseline="0">
              <a:solidFill>
                <a:schemeClr val="tx1"/>
              </a:solidFill>
            </a:rPr>
            <a:t> 40 bar</a:t>
          </a:r>
        </a:p>
      </xdr:txBody>
    </xdr:sp>
    <xdr:clientData/>
  </xdr:twoCellAnchor>
  <xdr:oneCellAnchor>
    <xdr:from>
      <xdr:col>2</xdr:col>
      <xdr:colOff>712693</xdr:colOff>
      <xdr:row>9</xdr:row>
      <xdr:rowOff>17931</xdr:rowOff>
    </xdr:from>
    <xdr:ext cx="358431" cy="264560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4F4C3837-6508-40DA-85BB-4AB2947216C2}"/>
            </a:ext>
          </a:extLst>
        </xdr:cNvPr>
        <xdr:cNvSpPr txBox="1"/>
      </xdr:nvSpPr>
      <xdr:spPr>
        <a:xfrm>
          <a:off x="2897840" y="1732431"/>
          <a:ext cx="358431" cy="2645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my</a:t>
          </a:r>
        </a:p>
      </xdr:txBody>
    </xdr:sp>
    <xdr:clientData/>
  </xdr:oneCellAnchor>
  <xdr:oneCellAnchor>
    <xdr:from>
      <xdr:col>3</xdr:col>
      <xdr:colOff>316005</xdr:colOff>
      <xdr:row>11</xdr:row>
      <xdr:rowOff>58273</xdr:rowOff>
    </xdr:from>
    <xdr:ext cx="358431" cy="264560"/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A82DC562-3DEA-4387-B6EB-250CB57F61B0}"/>
            </a:ext>
          </a:extLst>
        </xdr:cNvPr>
        <xdr:cNvSpPr txBox="1"/>
      </xdr:nvSpPr>
      <xdr:spPr>
        <a:xfrm>
          <a:off x="3263152" y="2153773"/>
          <a:ext cx="358431" cy="264560"/>
        </a:xfrm>
        <a:prstGeom prst="rect">
          <a:avLst/>
        </a:prstGeom>
        <a:solidFill>
          <a:schemeClr val="bg1"/>
        </a:solidFill>
        <a:ln>
          <a:solidFill>
            <a:schemeClr val="accent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mz</a:t>
          </a:r>
        </a:p>
      </xdr:txBody>
    </xdr:sp>
    <xdr:clientData/>
  </xdr:oneCellAnchor>
  <xdr:twoCellAnchor>
    <xdr:from>
      <xdr:col>2</xdr:col>
      <xdr:colOff>180414</xdr:colOff>
      <xdr:row>11</xdr:row>
      <xdr:rowOff>5041</xdr:rowOff>
    </xdr:from>
    <xdr:to>
      <xdr:col>3</xdr:col>
      <xdr:colOff>246529</xdr:colOff>
      <xdr:row>12</xdr:row>
      <xdr:rowOff>67235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A116D6C2-63C5-4696-BE81-72FA7094487E}"/>
            </a:ext>
          </a:extLst>
        </xdr:cNvPr>
        <xdr:cNvSpPr/>
      </xdr:nvSpPr>
      <xdr:spPr>
        <a:xfrm>
          <a:off x="2365561" y="2100541"/>
          <a:ext cx="828115" cy="252694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P =</a:t>
          </a:r>
          <a:r>
            <a:rPr lang="en-US" sz="1100" baseline="0">
              <a:solidFill>
                <a:schemeClr val="tx1"/>
              </a:solidFill>
            </a:rPr>
            <a:t> 10 bar</a:t>
          </a:r>
        </a:p>
      </xdr:txBody>
    </xdr:sp>
    <xdr:clientData/>
  </xdr:twoCellAnchor>
  <xdr:twoCellAnchor>
    <xdr:from>
      <xdr:col>1</xdr:col>
      <xdr:colOff>963705</xdr:colOff>
      <xdr:row>20</xdr:row>
      <xdr:rowOff>56030</xdr:rowOff>
    </xdr:from>
    <xdr:to>
      <xdr:col>1</xdr:col>
      <xdr:colOff>963705</xdr:colOff>
      <xdr:row>22</xdr:row>
      <xdr:rowOff>123265</xdr:rowOff>
    </xdr:to>
    <xdr:cxnSp macro="">
      <xdr:nvCxnSpPr>
        <xdr:cNvPr id="40" name="Straight Arrow Connector 39">
          <a:extLst>
            <a:ext uri="{FF2B5EF4-FFF2-40B4-BE49-F238E27FC236}">
              <a16:creationId xmlns:a16="http://schemas.microsoft.com/office/drawing/2014/main" id="{2237A4D8-388B-495A-B332-711DBCD43926}"/>
            </a:ext>
          </a:extLst>
        </xdr:cNvPr>
        <xdr:cNvCxnSpPr/>
      </xdr:nvCxnSpPr>
      <xdr:spPr>
        <a:xfrm>
          <a:off x="1568823" y="3866030"/>
          <a:ext cx="0" cy="448235"/>
        </a:xfrm>
        <a:prstGeom prst="straightConnector1">
          <a:avLst/>
        </a:prstGeom>
        <a:ln w="19050">
          <a:prstDash val="sysDash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</xdr:col>
      <xdr:colOff>970431</xdr:colOff>
      <xdr:row>22</xdr:row>
      <xdr:rowOff>95250</xdr:rowOff>
    </xdr:from>
    <xdr:to>
      <xdr:col>2</xdr:col>
      <xdr:colOff>133350</xdr:colOff>
      <xdr:row>22</xdr:row>
      <xdr:rowOff>118783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C4DFFDA5-74DF-424B-8F5C-B5F8E67A2AF8}"/>
            </a:ext>
          </a:extLst>
        </xdr:cNvPr>
        <xdr:cNvCxnSpPr/>
      </xdr:nvCxnSpPr>
      <xdr:spPr>
        <a:xfrm flipV="1">
          <a:off x="1580031" y="4286250"/>
          <a:ext cx="744069" cy="23533"/>
        </a:xfrm>
        <a:prstGeom prst="bentConnector3">
          <a:avLst>
            <a:gd name="adj1" fmla="val 50000"/>
          </a:avLst>
        </a:prstGeom>
        <a:ln w="28575">
          <a:prstDash val="sysDot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171449</xdr:colOff>
      <xdr:row>17</xdr:row>
      <xdr:rowOff>39222</xdr:rowOff>
    </xdr:from>
    <xdr:to>
      <xdr:col>2</xdr:col>
      <xdr:colOff>221876</xdr:colOff>
      <xdr:row>22</xdr:row>
      <xdr:rowOff>66676</xdr:rowOff>
    </xdr:to>
    <xdr:cxnSp macro="">
      <xdr:nvCxnSpPr>
        <xdr:cNvPr id="44" name="Connector: Elbow 43">
          <a:extLst>
            <a:ext uri="{FF2B5EF4-FFF2-40B4-BE49-F238E27FC236}">
              <a16:creationId xmlns:a16="http://schemas.microsoft.com/office/drawing/2014/main" id="{A1DB907F-6B80-43AF-B80F-9EA117CC1E60}"/>
            </a:ext>
          </a:extLst>
        </xdr:cNvPr>
        <xdr:cNvCxnSpPr/>
      </xdr:nvCxnSpPr>
      <xdr:spPr>
        <a:xfrm rot="5400000" flipH="1" flipV="1">
          <a:off x="1897436" y="3742485"/>
          <a:ext cx="979954" cy="50427"/>
        </a:xfrm>
        <a:prstGeom prst="bentConnector3">
          <a:avLst>
            <a:gd name="adj1" fmla="val 50000"/>
          </a:avLst>
        </a:prstGeom>
        <a:ln w="19050">
          <a:prstDash val="sysDash"/>
          <a:tailEnd type="triangle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0</xdr:col>
      <xdr:colOff>330012</xdr:colOff>
      <xdr:row>16</xdr:row>
      <xdr:rowOff>16249</xdr:rowOff>
    </xdr:from>
    <xdr:to>
      <xdr:col>1</xdr:col>
      <xdr:colOff>537882</xdr:colOff>
      <xdr:row>17</xdr:row>
      <xdr:rowOff>44825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0AD3B711-5952-4259-BA03-5B6570CBC5D7}"/>
            </a:ext>
          </a:extLst>
        </xdr:cNvPr>
        <xdr:cNvSpPr/>
      </xdr:nvSpPr>
      <xdr:spPr>
        <a:xfrm>
          <a:off x="330012" y="3064249"/>
          <a:ext cx="812988" cy="219076"/>
        </a:xfrm>
        <a:prstGeom prst="rect">
          <a:avLst/>
        </a:prstGeom>
        <a:solidFill>
          <a:schemeClr val="accent4">
            <a:lumMod val="60000"/>
            <a:lumOff val="4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tx1"/>
              </a:solidFill>
            </a:rPr>
            <a:t>T =</a:t>
          </a:r>
          <a:r>
            <a:rPr lang="en-US" sz="1100" baseline="0">
              <a:solidFill>
                <a:schemeClr val="tx1"/>
              </a:solidFill>
            </a:rPr>
            <a:t> 280 C</a:t>
          </a:r>
        </a:p>
      </xdr:txBody>
    </xdr:sp>
    <xdr:clientData/>
  </xdr:twoCellAnchor>
  <xdr:twoCellAnchor>
    <xdr:from>
      <xdr:col>8</xdr:col>
      <xdr:colOff>493069</xdr:colOff>
      <xdr:row>46</xdr:row>
      <xdr:rowOff>59380</xdr:rowOff>
    </xdr:from>
    <xdr:to>
      <xdr:col>13</xdr:col>
      <xdr:colOff>73237</xdr:colOff>
      <xdr:row>46</xdr:row>
      <xdr:rowOff>59380</xdr:rowOff>
    </xdr:to>
    <xdr:cxnSp macro="">
      <xdr:nvCxnSpPr>
        <xdr:cNvPr id="53" name="Straight Connector 52">
          <a:extLst>
            <a:ext uri="{FF2B5EF4-FFF2-40B4-BE49-F238E27FC236}">
              <a16:creationId xmlns:a16="http://schemas.microsoft.com/office/drawing/2014/main" id="{DFC979C6-C4BC-4A7F-A229-C1817EE19CB7}"/>
            </a:ext>
          </a:extLst>
        </xdr:cNvPr>
        <xdr:cNvCxnSpPr/>
      </xdr:nvCxnSpPr>
      <xdr:spPr>
        <a:xfrm>
          <a:off x="6729873" y="8822380"/>
          <a:ext cx="2644734" cy="0"/>
        </a:xfrm>
        <a:prstGeom prst="line">
          <a:avLst/>
        </a:prstGeom>
        <a:ln w="285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552450</xdr:colOff>
      <xdr:row>20</xdr:row>
      <xdr:rowOff>0</xdr:rowOff>
    </xdr:from>
    <xdr:to>
      <xdr:col>5</xdr:col>
      <xdr:colOff>266700</xdr:colOff>
      <xdr:row>21</xdr:row>
      <xdr:rowOff>85725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6133D003-EDC8-493E-99AE-1E2715FC53D7}"/>
            </a:ext>
          </a:extLst>
        </xdr:cNvPr>
        <xdr:cNvSpPr/>
      </xdr:nvSpPr>
      <xdr:spPr>
        <a:xfrm>
          <a:off x="4133850" y="3810000"/>
          <a:ext cx="361950" cy="27622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1100" b="1">
              <a:solidFill>
                <a:srgbClr val="0070C0"/>
              </a:solidFill>
            </a:rPr>
            <a:t>11</a:t>
          </a:r>
        </a:p>
      </xdr:txBody>
    </xdr:sp>
    <xdr:clientData/>
  </xdr:twoCellAnchor>
  <xdr:twoCellAnchor>
    <xdr:from>
      <xdr:col>1</xdr:col>
      <xdr:colOff>1257300</xdr:colOff>
      <xdr:row>18</xdr:row>
      <xdr:rowOff>104775</xdr:rowOff>
    </xdr:from>
    <xdr:to>
      <xdr:col>1</xdr:col>
      <xdr:colOff>1562100</xdr:colOff>
      <xdr:row>19</xdr:row>
      <xdr:rowOff>171450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00E8A30D-84FD-4050-9EDD-69069C1BED47}"/>
            </a:ext>
          </a:extLst>
        </xdr:cNvPr>
        <xdr:cNvSpPr/>
      </xdr:nvSpPr>
      <xdr:spPr>
        <a:xfrm>
          <a:off x="1866900" y="3533775"/>
          <a:ext cx="304800" cy="2571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1100" b="1">
              <a:solidFill>
                <a:srgbClr val="0070C0"/>
              </a:solidFill>
            </a:rPr>
            <a:t>8</a:t>
          </a:r>
        </a:p>
      </xdr:txBody>
    </xdr:sp>
    <xdr:clientData/>
  </xdr:twoCellAnchor>
  <xdr:twoCellAnchor>
    <xdr:from>
      <xdr:col>1</xdr:col>
      <xdr:colOff>161925</xdr:colOff>
      <xdr:row>18</xdr:row>
      <xdr:rowOff>38100</xdr:rowOff>
    </xdr:from>
    <xdr:to>
      <xdr:col>1</xdr:col>
      <xdr:colOff>466725</xdr:colOff>
      <xdr:row>19</xdr:row>
      <xdr:rowOff>104775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896E5FB1-67B2-492D-86A9-2C2072F71C59}"/>
            </a:ext>
          </a:extLst>
        </xdr:cNvPr>
        <xdr:cNvSpPr/>
      </xdr:nvSpPr>
      <xdr:spPr>
        <a:xfrm>
          <a:off x="771525" y="3467100"/>
          <a:ext cx="304800" cy="2571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1100" b="1">
              <a:solidFill>
                <a:srgbClr val="0070C0"/>
              </a:solidFill>
            </a:rPr>
            <a:t>9</a:t>
          </a:r>
        </a:p>
      </xdr:txBody>
    </xdr:sp>
    <xdr:clientData/>
  </xdr:twoCellAnchor>
  <xdr:twoCellAnchor>
    <xdr:from>
      <xdr:col>1</xdr:col>
      <xdr:colOff>1181099</xdr:colOff>
      <xdr:row>20</xdr:row>
      <xdr:rowOff>180975</xdr:rowOff>
    </xdr:from>
    <xdr:to>
      <xdr:col>2</xdr:col>
      <xdr:colOff>9524</xdr:colOff>
      <xdr:row>22</xdr:row>
      <xdr:rowOff>57150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CA74931E-CD0E-4217-9E3A-07999B9674A2}"/>
            </a:ext>
          </a:extLst>
        </xdr:cNvPr>
        <xdr:cNvSpPr/>
      </xdr:nvSpPr>
      <xdr:spPr>
        <a:xfrm>
          <a:off x="1790699" y="3990975"/>
          <a:ext cx="409575" cy="2571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en-US" sz="1100" b="1">
              <a:solidFill>
                <a:srgbClr val="0070C0"/>
              </a:solidFill>
            </a:rPr>
            <a:t>10</a:t>
          </a:r>
        </a:p>
      </xdr:txBody>
    </xdr:sp>
    <xdr:clientData/>
  </xdr:twoCellAnchor>
  <xdr:twoCellAnchor>
    <xdr:from>
      <xdr:col>9</xdr:col>
      <xdr:colOff>315408</xdr:colOff>
      <xdr:row>57</xdr:row>
      <xdr:rowOff>23224</xdr:rowOff>
    </xdr:from>
    <xdr:to>
      <xdr:col>15</xdr:col>
      <xdr:colOff>352425</xdr:colOff>
      <xdr:row>57</xdr:row>
      <xdr:rowOff>38100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3E684436-A2F5-4F2F-BD8F-5E7CF57D8C66}"/>
            </a:ext>
          </a:extLst>
        </xdr:cNvPr>
        <xdr:cNvCxnSpPr/>
      </xdr:nvCxnSpPr>
      <xdr:spPr>
        <a:xfrm>
          <a:off x="7316283" y="10881724"/>
          <a:ext cx="3694617" cy="14876"/>
        </a:xfrm>
        <a:prstGeom prst="line">
          <a:avLst/>
        </a:prstGeom>
        <a:ln w="285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179860</xdr:colOff>
      <xdr:row>46</xdr:row>
      <xdr:rowOff>162435</xdr:rowOff>
    </xdr:from>
    <xdr:to>
      <xdr:col>15</xdr:col>
      <xdr:colOff>216877</xdr:colOff>
      <xdr:row>46</xdr:row>
      <xdr:rowOff>177311</xdr:rowOff>
    </xdr:to>
    <xdr:cxnSp macro="">
      <xdr:nvCxnSpPr>
        <xdr:cNvPr id="67" name="Straight Connector 66">
          <a:extLst>
            <a:ext uri="{FF2B5EF4-FFF2-40B4-BE49-F238E27FC236}">
              <a16:creationId xmlns:a16="http://schemas.microsoft.com/office/drawing/2014/main" id="{C21FDAC6-5132-439C-8173-4F0A3EBC58D9}"/>
            </a:ext>
          </a:extLst>
        </xdr:cNvPr>
        <xdr:cNvCxnSpPr/>
      </xdr:nvCxnSpPr>
      <xdr:spPr>
        <a:xfrm>
          <a:off x="7177072" y="8925435"/>
          <a:ext cx="3685824" cy="14876"/>
        </a:xfrm>
        <a:prstGeom prst="line">
          <a:avLst/>
        </a:prstGeom>
        <a:ln w="28575">
          <a:solidFill>
            <a:srgbClr val="FFC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457200</xdr:colOff>
      <xdr:row>0</xdr:row>
      <xdr:rowOff>0</xdr:rowOff>
    </xdr:from>
    <xdr:to>
      <xdr:col>15</xdr:col>
      <xdr:colOff>523267</xdr:colOff>
      <xdr:row>31</xdr:row>
      <xdr:rowOff>56405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3045E6-E708-45E2-A70A-FFBAFD316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19825" y="0"/>
          <a:ext cx="4866667" cy="5961905"/>
        </a:xfrm>
        <a:prstGeom prst="rect">
          <a:avLst/>
        </a:prstGeom>
      </xdr:spPr>
    </xdr:pic>
    <xdr:clientData/>
  </xdr:twoCellAnchor>
  <xdr:twoCellAnchor editAs="oneCell">
    <xdr:from>
      <xdr:col>11</xdr:col>
      <xdr:colOff>219075</xdr:colOff>
      <xdr:row>31</xdr:row>
      <xdr:rowOff>47624</xdr:rowOff>
    </xdr:from>
    <xdr:to>
      <xdr:col>19</xdr:col>
      <xdr:colOff>500825</xdr:colOff>
      <xdr:row>71</xdr:row>
      <xdr:rowOff>45893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F68DE25-4543-4F64-83BA-BEFD0D78CE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39100" y="5953124"/>
          <a:ext cx="5768150" cy="7618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323850</xdr:colOff>
      <xdr:row>0</xdr:row>
      <xdr:rowOff>152400</xdr:rowOff>
    </xdr:from>
    <xdr:to>
      <xdr:col>7</xdr:col>
      <xdr:colOff>570920</xdr:colOff>
      <xdr:row>21</xdr:row>
      <xdr:rowOff>142376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4DD2733-6F89-4E88-A7AA-F5DDF321C2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9650" y="152400"/>
          <a:ext cx="4638095" cy="3990476"/>
        </a:xfrm>
        <a:prstGeom prst="rect">
          <a:avLst/>
        </a:prstGeom>
      </xdr:spPr>
    </xdr:pic>
    <xdr:clientData/>
  </xdr:twoCellAnchor>
  <xdr:twoCellAnchor>
    <xdr:from>
      <xdr:col>11</xdr:col>
      <xdr:colOff>314326</xdr:colOff>
      <xdr:row>10</xdr:row>
      <xdr:rowOff>28575</xdr:rowOff>
    </xdr:from>
    <xdr:to>
      <xdr:col>11</xdr:col>
      <xdr:colOff>542926</xdr:colOff>
      <xdr:row>17</xdr:row>
      <xdr:rowOff>47625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3DFEA11A-3457-448C-AB23-B2EEA70E2BF6}"/>
            </a:ext>
          </a:extLst>
        </xdr:cNvPr>
        <xdr:cNvSpPr/>
      </xdr:nvSpPr>
      <xdr:spPr>
        <a:xfrm>
          <a:off x="8134351" y="1933575"/>
          <a:ext cx="228600" cy="1352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342900</xdr:colOff>
      <xdr:row>40</xdr:row>
      <xdr:rowOff>151086</xdr:rowOff>
    </xdr:from>
    <xdr:to>
      <xdr:col>14</xdr:col>
      <xdr:colOff>342900</xdr:colOff>
      <xdr:row>61</xdr:row>
      <xdr:rowOff>157655</xdr:rowOff>
    </xdr:to>
    <xdr:cxnSp macro="">
      <xdr:nvCxnSpPr>
        <xdr:cNvPr id="6" name="Straight Connector 5">
          <a:extLst>
            <a:ext uri="{FF2B5EF4-FFF2-40B4-BE49-F238E27FC236}">
              <a16:creationId xmlns:a16="http://schemas.microsoft.com/office/drawing/2014/main" id="{A47FC877-AE2C-4C62-8DC7-B116EDFEB095}"/>
            </a:ext>
          </a:extLst>
        </xdr:cNvPr>
        <xdr:cNvCxnSpPr/>
      </xdr:nvCxnSpPr>
      <xdr:spPr>
        <a:xfrm>
          <a:off x="10220325" y="7771086"/>
          <a:ext cx="0" cy="4007069"/>
        </a:xfrm>
        <a:prstGeom prst="line">
          <a:avLst/>
        </a:prstGeom>
        <a:ln w="28575">
          <a:prstDash val="solid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343632</xdr:colOff>
      <xdr:row>40</xdr:row>
      <xdr:rowOff>168519</xdr:rowOff>
    </xdr:from>
    <xdr:to>
      <xdr:col>15</xdr:col>
      <xdr:colOff>450606</xdr:colOff>
      <xdr:row>57</xdr:row>
      <xdr:rowOff>139212</xdr:rowOff>
    </xdr:to>
    <xdr:cxnSp macro="">
      <xdr:nvCxnSpPr>
        <xdr:cNvPr id="7" name="Straight Connector 6">
          <a:extLst>
            <a:ext uri="{FF2B5EF4-FFF2-40B4-BE49-F238E27FC236}">
              <a16:creationId xmlns:a16="http://schemas.microsoft.com/office/drawing/2014/main" id="{D4170CEE-D933-4993-9233-A9875A6DCAD4}"/>
            </a:ext>
          </a:extLst>
        </xdr:cNvPr>
        <xdr:cNvCxnSpPr/>
      </xdr:nvCxnSpPr>
      <xdr:spPr>
        <a:xfrm>
          <a:off x="10221057" y="7788519"/>
          <a:ext cx="792774" cy="3209193"/>
        </a:xfrm>
        <a:prstGeom prst="line">
          <a:avLst/>
        </a:prstGeom>
        <a:ln w="28575">
          <a:solidFill>
            <a:schemeClr val="accent6">
              <a:lumMod val="75000"/>
            </a:schemeClr>
          </a:solidFill>
          <a:prstDash val="solid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182441</xdr:colOff>
      <xdr:row>40</xdr:row>
      <xdr:rowOff>168519</xdr:rowOff>
    </xdr:from>
    <xdr:to>
      <xdr:col>14</xdr:col>
      <xdr:colOff>604472</xdr:colOff>
      <xdr:row>40</xdr:row>
      <xdr:rowOff>168519</xdr:rowOff>
    </xdr:to>
    <xdr:cxnSp macro="">
      <xdr:nvCxnSpPr>
        <xdr:cNvPr id="8" name="Straight Connector 7">
          <a:extLst>
            <a:ext uri="{FF2B5EF4-FFF2-40B4-BE49-F238E27FC236}">
              <a16:creationId xmlns:a16="http://schemas.microsoft.com/office/drawing/2014/main" id="{8EC06529-B468-4FB1-B241-E5A3E9E0ECBC}"/>
            </a:ext>
          </a:extLst>
        </xdr:cNvPr>
        <xdr:cNvCxnSpPr/>
      </xdr:nvCxnSpPr>
      <xdr:spPr>
        <a:xfrm>
          <a:off x="10059866" y="7788519"/>
          <a:ext cx="422031" cy="0"/>
        </a:xfrm>
        <a:prstGeom prst="line">
          <a:avLst/>
        </a:prstGeom>
        <a:ln w="28575">
          <a:solidFill>
            <a:schemeClr val="accent2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437935</xdr:colOff>
      <xdr:row>47</xdr:row>
      <xdr:rowOff>108008</xdr:rowOff>
    </xdr:from>
    <xdr:to>
      <xdr:col>15</xdr:col>
      <xdr:colOff>182441</xdr:colOff>
      <xdr:row>47</xdr:row>
      <xdr:rowOff>108008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9BE3136B-87C5-4973-8F74-760085F8299B}"/>
            </a:ext>
          </a:extLst>
        </xdr:cNvPr>
        <xdr:cNvCxnSpPr/>
      </xdr:nvCxnSpPr>
      <xdr:spPr>
        <a:xfrm>
          <a:off x="10315360" y="9061508"/>
          <a:ext cx="430306" cy="0"/>
        </a:xfrm>
        <a:prstGeom prst="line">
          <a:avLst/>
        </a:prstGeom>
        <a:ln w="28575">
          <a:solidFill>
            <a:schemeClr val="accent2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5390</xdr:colOff>
      <xdr:row>51</xdr:row>
      <xdr:rowOff>170761</xdr:rowOff>
    </xdr:from>
    <xdr:to>
      <xdr:col>15</xdr:col>
      <xdr:colOff>372941</xdr:colOff>
      <xdr:row>51</xdr:row>
      <xdr:rowOff>170761</xdr:rowOff>
    </xdr:to>
    <xdr:cxnSp macro="">
      <xdr:nvCxnSpPr>
        <xdr:cNvPr id="10" name="Straight Connector 9">
          <a:extLst>
            <a:ext uri="{FF2B5EF4-FFF2-40B4-BE49-F238E27FC236}">
              <a16:creationId xmlns:a16="http://schemas.microsoft.com/office/drawing/2014/main" id="{5C3BFE1C-D772-4D85-87F0-01BCA81D8543}"/>
            </a:ext>
          </a:extLst>
        </xdr:cNvPr>
        <xdr:cNvCxnSpPr/>
      </xdr:nvCxnSpPr>
      <xdr:spPr>
        <a:xfrm>
          <a:off x="10568615" y="9886261"/>
          <a:ext cx="367551" cy="0"/>
        </a:xfrm>
        <a:prstGeom prst="line">
          <a:avLst/>
        </a:prstGeom>
        <a:ln w="28575">
          <a:solidFill>
            <a:schemeClr val="accent2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175565</xdr:colOff>
      <xdr:row>56</xdr:row>
      <xdr:rowOff>46877</xdr:rowOff>
    </xdr:from>
    <xdr:to>
      <xdr:col>15</xdr:col>
      <xdr:colOff>597596</xdr:colOff>
      <xdr:row>56</xdr:row>
      <xdr:rowOff>46877</xdr:rowOff>
    </xdr:to>
    <xdr:cxnSp macro="">
      <xdr:nvCxnSpPr>
        <xdr:cNvPr id="11" name="Straight Connector 10">
          <a:extLst>
            <a:ext uri="{FF2B5EF4-FFF2-40B4-BE49-F238E27FC236}">
              <a16:creationId xmlns:a16="http://schemas.microsoft.com/office/drawing/2014/main" id="{9E557100-FA73-4A40-A46E-BA237B53996D}"/>
            </a:ext>
          </a:extLst>
        </xdr:cNvPr>
        <xdr:cNvCxnSpPr/>
      </xdr:nvCxnSpPr>
      <xdr:spPr>
        <a:xfrm>
          <a:off x="10738790" y="10714877"/>
          <a:ext cx="422031" cy="0"/>
        </a:xfrm>
        <a:prstGeom prst="line">
          <a:avLst/>
        </a:prstGeom>
        <a:ln w="28575">
          <a:solidFill>
            <a:schemeClr val="accent2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231749</xdr:colOff>
      <xdr:row>57</xdr:row>
      <xdr:rowOff>139383</xdr:rowOff>
    </xdr:from>
    <xdr:to>
      <xdr:col>15</xdr:col>
      <xdr:colOff>653780</xdr:colOff>
      <xdr:row>57</xdr:row>
      <xdr:rowOff>139383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E1DC662A-1E83-4B40-897A-1B449DABBE4A}"/>
            </a:ext>
          </a:extLst>
        </xdr:cNvPr>
        <xdr:cNvCxnSpPr/>
      </xdr:nvCxnSpPr>
      <xdr:spPr>
        <a:xfrm>
          <a:off x="10794974" y="10997883"/>
          <a:ext cx="422031" cy="0"/>
        </a:xfrm>
        <a:prstGeom prst="line">
          <a:avLst/>
        </a:prstGeom>
        <a:ln w="28575">
          <a:solidFill>
            <a:schemeClr val="accent2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31</xdr:row>
      <xdr:rowOff>123825</xdr:rowOff>
    </xdr:from>
    <xdr:to>
      <xdr:col>11</xdr:col>
      <xdr:colOff>304800</xdr:colOff>
      <xdr:row>33</xdr:row>
      <xdr:rowOff>9525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E6FA110E-FB25-48BF-9A5C-9A2B097EA12A}"/>
            </a:ext>
          </a:extLst>
        </xdr:cNvPr>
        <xdr:cNvCxnSpPr/>
      </xdr:nvCxnSpPr>
      <xdr:spPr>
        <a:xfrm>
          <a:off x="5762625" y="6029325"/>
          <a:ext cx="2362200" cy="266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342901</xdr:colOff>
      <xdr:row>1</xdr:row>
      <xdr:rowOff>171450</xdr:rowOff>
    </xdr:from>
    <xdr:to>
      <xdr:col>6</xdr:col>
      <xdr:colOff>90512</xdr:colOff>
      <xdr:row>19</xdr:row>
      <xdr:rowOff>9525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6375E71-6553-4498-A8D8-C6DAF5538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1" y="361950"/>
          <a:ext cx="5205436" cy="326707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476250</xdr:colOff>
      <xdr:row>26</xdr:row>
      <xdr:rowOff>47624</xdr:rowOff>
    </xdr:from>
    <xdr:to>
      <xdr:col>17</xdr:col>
      <xdr:colOff>72200</xdr:colOff>
      <xdr:row>66</xdr:row>
      <xdr:rowOff>45893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F3C79E9-5DDD-4F84-ADDB-920C4A6FD2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8425" y="5381624"/>
          <a:ext cx="5768150" cy="7618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12</xdr:col>
      <xdr:colOff>144339</xdr:colOff>
      <xdr:row>40</xdr:row>
      <xdr:rowOff>7328</xdr:rowOff>
    </xdr:from>
    <xdr:to>
      <xdr:col>12</xdr:col>
      <xdr:colOff>144339</xdr:colOff>
      <xdr:row>54</xdr:row>
      <xdr:rowOff>117231</xdr:rowOff>
    </xdr:to>
    <xdr:cxnSp macro="">
      <xdr:nvCxnSpPr>
        <xdr:cNvPr id="3" name="Straight Connector 2">
          <a:extLst>
            <a:ext uri="{FF2B5EF4-FFF2-40B4-BE49-F238E27FC236}">
              <a16:creationId xmlns:a16="http://schemas.microsoft.com/office/drawing/2014/main" id="{20BC6D25-1499-4DE6-87A1-C9ABC67EF3CB}"/>
            </a:ext>
          </a:extLst>
        </xdr:cNvPr>
        <xdr:cNvCxnSpPr/>
      </xdr:nvCxnSpPr>
      <xdr:spPr>
        <a:xfrm>
          <a:off x="9735281" y="7627328"/>
          <a:ext cx="0" cy="2776903"/>
        </a:xfrm>
        <a:prstGeom prst="line">
          <a:avLst/>
        </a:prstGeom>
        <a:ln w="28575">
          <a:prstDash val="solid"/>
        </a:ln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7</xdr:col>
      <xdr:colOff>638174</xdr:colOff>
      <xdr:row>1</xdr:row>
      <xdr:rowOff>38100</xdr:rowOff>
    </xdr:from>
    <xdr:to>
      <xdr:col>16</xdr:col>
      <xdr:colOff>322801</xdr:colOff>
      <xdr:row>18</xdr:row>
      <xdr:rowOff>20855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EF790E3-9FF1-4065-BC93-FC8873F02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924549" y="228600"/>
          <a:ext cx="5856827" cy="3221255"/>
        </a:xfrm>
        <a:prstGeom prst="rect">
          <a:avLst/>
        </a:prstGeom>
      </xdr:spPr>
    </xdr:pic>
    <xdr:clientData/>
  </xdr:twoCellAnchor>
  <xdr:twoCellAnchor>
    <xdr:from>
      <xdr:col>7</xdr:col>
      <xdr:colOff>438150</xdr:colOff>
      <xdr:row>27</xdr:row>
      <xdr:rowOff>114300</xdr:rowOff>
    </xdr:from>
    <xdr:to>
      <xdr:col>11</xdr:col>
      <xdr:colOff>616323</xdr:colOff>
      <xdr:row>39</xdr:row>
      <xdr:rowOff>44824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EA1F55D3-04F8-447E-B6AC-E369541F1D2E}"/>
            </a:ext>
          </a:extLst>
        </xdr:cNvPr>
        <xdr:cNvCxnSpPr/>
      </xdr:nvCxnSpPr>
      <xdr:spPr>
        <a:xfrm>
          <a:off x="6590179" y="5257800"/>
          <a:ext cx="2912409" cy="2216524"/>
        </a:xfrm>
        <a:prstGeom prst="straightConnector1">
          <a:avLst/>
        </a:prstGeom>
        <a:ln w="1905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504265</xdr:colOff>
      <xdr:row>44</xdr:row>
      <xdr:rowOff>56029</xdr:rowOff>
    </xdr:from>
    <xdr:to>
      <xdr:col>11</xdr:col>
      <xdr:colOff>593911</xdr:colOff>
      <xdr:row>53</xdr:row>
      <xdr:rowOff>168088</xdr:rowOff>
    </xdr:to>
    <xdr:cxnSp macro="">
      <xdr:nvCxnSpPr>
        <xdr:cNvPr id="19" name="Straight Arrow Connector 18">
          <a:extLst>
            <a:ext uri="{FF2B5EF4-FFF2-40B4-BE49-F238E27FC236}">
              <a16:creationId xmlns:a16="http://schemas.microsoft.com/office/drawing/2014/main" id="{2B61C822-786D-47EF-8DC5-3684012035E9}"/>
            </a:ext>
          </a:extLst>
        </xdr:cNvPr>
        <xdr:cNvCxnSpPr/>
      </xdr:nvCxnSpPr>
      <xdr:spPr>
        <a:xfrm flipH="1" flipV="1">
          <a:off x="4022912" y="8438029"/>
          <a:ext cx="5457264" cy="1826559"/>
        </a:xfrm>
        <a:prstGeom prst="straightConnector1">
          <a:avLst/>
        </a:prstGeom>
        <a:ln w="1905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4:H58"/>
  <sheetViews>
    <sheetView tabSelected="1" topLeftCell="A37" zoomScaleNormal="100" workbookViewId="0">
      <selection activeCell="B41" sqref="B41"/>
    </sheetView>
  </sheetViews>
  <sheetFormatPr defaultRowHeight="15" x14ac:dyDescent="0.25"/>
  <cols>
    <col min="2" max="2" width="23.7109375" bestFit="1" customWidth="1"/>
    <col min="3" max="3" width="11.42578125" customWidth="1"/>
    <col min="4" max="4" width="9.42578125" customWidth="1"/>
    <col min="5" max="5" width="9.7109375" bestFit="1" customWidth="1"/>
    <col min="6" max="6" width="14.140625" customWidth="1"/>
  </cols>
  <sheetData>
    <row r="24" spans="2:8" x14ac:dyDescent="0.25">
      <c r="B24" s="10" t="s">
        <v>41</v>
      </c>
      <c r="C24" s="8">
        <v>150</v>
      </c>
      <c r="D24" s="2" t="s">
        <v>1</v>
      </c>
      <c r="F24" t="s">
        <v>40</v>
      </c>
      <c r="G24" s="8">
        <v>0.85</v>
      </c>
    </row>
    <row r="25" spans="2:8" x14ac:dyDescent="0.25">
      <c r="B25" s="10" t="s">
        <v>93</v>
      </c>
      <c r="C25" s="8">
        <v>140</v>
      </c>
      <c r="D25" s="2" t="s">
        <v>52</v>
      </c>
      <c r="F25" t="s">
        <v>39</v>
      </c>
      <c r="G25" s="9">
        <v>0.8</v>
      </c>
    </row>
    <row r="26" spans="2:8" x14ac:dyDescent="0.25">
      <c r="B26" s="10" t="s">
        <v>94</v>
      </c>
      <c r="C26" s="8">
        <v>280</v>
      </c>
      <c r="D26" s="2" t="s">
        <v>52</v>
      </c>
      <c r="G26" s="9"/>
    </row>
    <row r="27" spans="2:8" x14ac:dyDescent="0.25">
      <c r="B27" t="s">
        <v>53</v>
      </c>
      <c r="C27" s="8">
        <v>4.18</v>
      </c>
      <c r="D27" s="2" t="s">
        <v>54</v>
      </c>
      <c r="F27" t="s">
        <v>5</v>
      </c>
      <c r="G27" s="9">
        <v>0.95</v>
      </c>
    </row>
    <row r="28" spans="2:8" x14ac:dyDescent="0.25">
      <c r="C28" s="2"/>
      <c r="D28" s="2"/>
      <c r="F28" t="s">
        <v>6</v>
      </c>
      <c r="G28" s="9">
        <v>0.95</v>
      </c>
    </row>
    <row r="30" spans="2:8" x14ac:dyDescent="0.25">
      <c r="C30" s="17" t="s">
        <v>10</v>
      </c>
      <c r="D30" s="17"/>
      <c r="E30" s="17"/>
      <c r="F30" s="20" t="s">
        <v>42</v>
      </c>
    </row>
    <row r="31" spans="2:8" x14ac:dyDescent="0.25">
      <c r="C31" t="s">
        <v>44</v>
      </c>
      <c r="D31" s="1">
        <v>3350</v>
      </c>
      <c r="E31" t="s">
        <v>3</v>
      </c>
      <c r="F31" t="s">
        <v>47</v>
      </c>
      <c r="G31" s="5">
        <v>3462.5</v>
      </c>
      <c r="H31" t="s">
        <v>3</v>
      </c>
    </row>
    <row r="32" spans="2:8" x14ac:dyDescent="0.25">
      <c r="C32" t="s">
        <v>46</v>
      </c>
      <c r="D32" s="1">
        <v>2875</v>
      </c>
      <c r="E32" t="s">
        <v>3</v>
      </c>
      <c r="F32" t="s">
        <v>48</v>
      </c>
      <c r="G32" s="1">
        <v>2270</v>
      </c>
      <c r="H32" t="s">
        <v>3</v>
      </c>
    </row>
    <row r="33" spans="1:8" x14ac:dyDescent="0.25">
      <c r="C33" t="s">
        <v>45</v>
      </c>
      <c r="D33" s="1">
        <f>D31-G24*(D31-D32)</f>
        <v>2946.25</v>
      </c>
      <c r="E33" t="s">
        <v>3</v>
      </c>
      <c r="F33" t="s">
        <v>49</v>
      </c>
      <c r="G33" s="1">
        <f>G31-G25*(G31-G32)</f>
        <v>2508.5</v>
      </c>
      <c r="H33" t="s">
        <v>3</v>
      </c>
    </row>
    <row r="34" spans="1:8" x14ac:dyDescent="0.25">
      <c r="E34" s="4"/>
      <c r="F34" t="s">
        <v>96</v>
      </c>
      <c r="G34" s="1">
        <v>137.5</v>
      </c>
      <c r="H34" t="s">
        <v>3</v>
      </c>
    </row>
    <row r="35" spans="1:8" x14ac:dyDescent="0.25">
      <c r="C35" t="s">
        <v>56</v>
      </c>
      <c r="D35" s="1">
        <v>3050</v>
      </c>
      <c r="E35" s="4" t="s">
        <v>3</v>
      </c>
      <c r="F35" t="s">
        <v>50</v>
      </c>
      <c r="G35" s="1">
        <f>G34</f>
        <v>137.5</v>
      </c>
      <c r="H35" t="s">
        <v>3</v>
      </c>
    </row>
    <row r="36" spans="1:8" x14ac:dyDescent="0.25">
      <c r="C36" t="s">
        <v>57</v>
      </c>
      <c r="D36" s="1">
        <v>3325</v>
      </c>
      <c r="E36" s="4" t="s">
        <v>3</v>
      </c>
      <c r="F36" t="s">
        <v>51</v>
      </c>
      <c r="G36" s="1">
        <f>C27*C25</f>
        <v>585.19999999999993</v>
      </c>
      <c r="H36" t="s">
        <v>3</v>
      </c>
    </row>
    <row r="37" spans="1:8" x14ac:dyDescent="0.25">
      <c r="C37" t="s">
        <v>95</v>
      </c>
      <c r="D37" s="1">
        <v>3025</v>
      </c>
      <c r="E37" s="4" t="s">
        <v>3</v>
      </c>
      <c r="F37" t="s">
        <v>97</v>
      </c>
      <c r="G37" s="1">
        <v>762.7</v>
      </c>
      <c r="H37" t="s">
        <v>3</v>
      </c>
    </row>
    <row r="38" spans="1:8" x14ac:dyDescent="0.25">
      <c r="D38" s="2"/>
      <c r="F38" t="s">
        <v>98</v>
      </c>
      <c r="G38" s="1">
        <f>C26*C27</f>
        <v>1170.3999999999999</v>
      </c>
      <c r="H38" t="s">
        <v>3</v>
      </c>
    </row>
    <row r="39" spans="1:8" x14ac:dyDescent="0.25">
      <c r="A39" s="17" t="s">
        <v>55</v>
      </c>
      <c r="B39" s="12"/>
      <c r="F39" t="s">
        <v>99</v>
      </c>
      <c r="G39" s="1">
        <v>1008.3</v>
      </c>
      <c r="H39" t="s">
        <v>3</v>
      </c>
    </row>
    <row r="40" spans="1:8" x14ac:dyDescent="0.25">
      <c r="A40" t="s">
        <v>106</v>
      </c>
      <c r="F40" t="s">
        <v>100</v>
      </c>
      <c r="G40" s="1">
        <v>504.8</v>
      </c>
      <c r="H40" t="s">
        <v>3</v>
      </c>
    </row>
    <row r="41" spans="1:8" x14ac:dyDescent="0.25">
      <c r="A41" t="s">
        <v>58</v>
      </c>
      <c r="B41" s="1">
        <f>(C24*(G37-G36)-B45*(G39-G36))/(D36-G36)</f>
        <v>5.0923038214080361</v>
      </c>
      <c r="C41" s="6" t="s">
        <v>1</v>
      </c>
    </row>
    <row r="43" spans="1:8" x14ac:dyDescent="0.25">
      <c r="A43" s="12" t="s">
        <v>8</v>
      </c>
      <c r="C43" s="17" t="s">
        <v>19</v>
      </c>
    </row>
    <row r="44" spans="1:8" x14ac:dyDescent="0.25">
      <c r="A44" t="s">
        <v>101</v>
      </c>
      <c r="C44" t="s">
        <v>107</v>
      </c>
    </row>
    <row r="45" spans="1:8" x14ac:dyDescent="0.25">
      <c r="A45" t="s">
        <v>102</v>
      </c>
      <c r="B45" s="1">
        <f>((G38-G37)/(D35-G39))*C24</f>
        <v>29.952980359504323</v>
      </c>
      <c r="C45" t="s">
        <v>103</v>
      </c>
      <c r="D45" s="1">
        <f>G45*((G36-G35)/(D37-G40))</f>
        <v>20.421088116897682</v>
      </c>
      <c r="E45" t="s">
        <v>1</v>
      </c>
      <c r="F45" s="2" t="s">
        <v>108</v>
      </c>
      <c r="G45" s="1">
        <f>C24-B41-B45</f>
        <v>114.95471581908765</v>
      </c>
      <c r="H45" s="2" t="s">
        <v>1</v>
      </c>
    </row>
    <row r="47" spans="1:8" x14ac:dyDescent="0.25">
      <c r="C47" s="17" t="s">
        <v>25</v>
      </c>
    </row>
    <row r="48" spans="1:8" x14ac:dyDescent="0.25">
      <c r="B48" s="14" t="s">
        <v>59</v>
      </c>
      <c r="C48" t="s">
        <v>104</v>
      </c>
    </row>
    <row r="49" spans="2:7" x14ac:dyDescent="0.25">
      <c r="B49" s="3"/>
      <c r="C49" t="s">
        <v>62</v>
      </c>
      <c r="D49" s="1">
        <f>C24*(D31-D35)+(C24-B45)*(D35-D33)</f>
        <v>57454.878287701431</v>
      </c>
      <c r="E49" t="s">
        <v>30</v>
      </c>
      <c r="F49" s="1">
        <f>D49/1000</f>
        <v>57.454878287701433</v>
      </c>
      <c r="G49" t="s">
        <v>31</v>
      </c>
    </row>
    <row r="50" spans="2:7" x14ac:dyDescent="0.25">
      <c r="B50" s="14" t="s">
        <v>60</v>
      </c>
      <c r="C50" t="s">
        <v>105</v>
      </c>
      <c r="D50" s="18"/>
    </row>
    <row r="51" spans="2:7" x14ac:dyDescent="0.25">
      <c r="C51" t="s">
        <v>61</v>
      </c>
      <c r="D51" s="1">
        <f>(C24-B45)*(G31-D36)+(C24-B45-B41)*(D36-D37)+(C24-B45-B41-D45)*(D37-G33)</f>
        <v>99819.498654475567</v>
      </c>
      <c r="F51" s="22">
        <f>D51/1000</f>
        <v>99.819498654475566</v>
      </c>
      <c r="G51" t="s">
        <v>31</v>
      </c>
    </row>
    <row r="52" spans="2:7" x14ac:dyDescent="0.25">
      <c r="C52" t="s">
        <v>63</v>
      </c>
      <c r="D52" s="13">
        <f>F51+F49</f>
        <v>157.27437694217701</v>
      </c>
    </row>
    <row r="53" spans="2:7" x14ac:dyDescent="0.25">
      <c r="B53" s="14" t="s">
        <v>82</v>
      </c>
      <c r="C53" t="s">
        <v>28</v>
      </c>
      <c r="D53" s="1">
        <f>D52*G27*G28</f>
        <v>141.94012519031475</v>
      </c>
      <c r="E53" t="s">
        <v>31</v>
      </c>
    </row>
    <row r="54" spans="2:7" x14ac:dyDescent="0.25">
      <c r="D54" s="2"/>
    </row>
    <row r="55" spans="2:7" x14ac:dyDescent="0.25">
      <c r="C55" s="23"/>
      <c r="D55" s="2"/>
      <c r="E55" s="2"/>
      <c r="F55" s="24"/>
      <c r="G55" s="2"/>
    </row>
    <row r="56" spans="2:7" x14ac:dyDescent="0.25">
      <c r="C56" s="2"/>
      <c r="D56" s="2"/>
      <c r="E56" s="2"/>
      <c r="F56" s="18"/>
      <c r="G56" s="2"/>
    </row>
    <row r="57" spans="2:7" x14ac:dyDescent="0.25">
      <c r="C57" s="2"/>
      <c r="D57" s="2"/>
      <c r="E57" s="2"/>
      <c r="F57" s="18"/>
      <c r="G57" s="2"/>
    </row>
    <row r="58" spans="2:7" x14ac:dyDescent="0.25">
      <c r="C58" s="2"/>
      <c r="D58" s="25"/>
      <c r="E58" s="2"/>
      <c r="F58" s="18"/>
      <c r="G58" s="2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4:I58"/>
  <sheetViews>
    <sheetView topLeftCell="A22" workbookViewId="0">
      <selection activeCell="K38" sqref="K38"/>
    </sheetView>
  </sheetViews>
  <sheetFormatPr defaultRowHeight="15" x14ac:dyDescent="0.25"/>
  <cols>
    <col min="3" max="3" width="10.28515625" customWidth="1"/>
    <col min="5" max="5" width="9.7109375" bestFit="1" customWidth="1"/>
    <col min="6" max="6" width="10.5703125" bestFit="1" customWidth="1"/>
  </cols>
  <sheetData>
    <row r="24" spans="3:8" x14ac:dyDescent="0.25">
      <c r="C24" s="8" t="s">
        <v>35</v>
      </c>
      <c r="D24" s="8">
        <v>40</v>
      </c>
      <c r="F24" t="s">
        <v>4</v>
      </c>
      <c r="G24" s="9">
        <v>0.8</v>
      </c>
    </row>
    <row r="25" spans="3:8" x14ac:dyDescent="0.25">
      <c r="C25" s="8" t="s">
        <v>36</v>
      </c>
      <c r="D25" s="8">
        <v>75</v>
      </c>
      <c r="F25" t="s">
        <v>5</v>
      </c>
      <c r="G25" s="9">
        <v>0.98</v>
      </c>
    </row>
    <row r="26" spans="3:8" x14ac:dyDescent="0.25">
      <c r="C26" s="8" t="s">
        <v>37</v>
      </c>
      <c r="D26" s="8">
        <v>10</v>
      </c>
      <c r="F26" t="s">
        <v>6</v>
      </c>
      <c r="G26" s="9">
        <v>0.97</v>
      </c>
    </row>
    <row r="27" spans="3:8" x14ac:dyDescent="0.25">
      <c r="C27" s="8" t="s">
        <v>38</v>
      </c>
      <c r="D27" s="8">
        <v>10</v>
      </c>
      <c r="F27" t="s">
        <v>7</v>
      </c>
      <c r="G27" s="9">
        <v>0.92</v>
      </c>
    </row>
    <row r="29" spans="3:8" x14ac:dyDescent="0.25">
      <c r="C29" s="2" t="s">
        <v>0</v>
      </c>
      <c r="D29" s="1">
        <f>(10+0.5*D26)</f>
        <v>15</v>
      </c>
      <c r="E29" t="s">
        <v>1</v>
      </c>
      <c r="F29" t="s">
        <v>9</v>
      </c>
      <c r="G29" s="9">
        <v>120</v>
      </c>
      <c r="H29" t="s">
        <v>1</v>
      </c>
    </row>
    <row r="30" spans="3:8" x14ac:dyDescent="0.25">
      <c r="C30" s="2" t="s">
        <v>2</v>
      </c>
      <c r="D30" s="1">
        <f>350+D25*(1+D27/100)</f>
        <v>432.5</v>
      </c>
      <c r="E30" t="s">
        <v>3</v>
      </c>
    </row>
    <row r="32" spans="3:8" x14ac:dyDescent="0.25">
      <c r="C32" s="11" t="s">
        <v>10</v>
      </c>
      <c r="D32" s="11"/>
      <c r="E32" s="11"/>
      <c r="F32" s="11"/>
      <c r="H32" s="14" t="s">
        <v>42</v>
      </c>
    </row>
    <row r="33" spans="3:9" x14ac:dyDescent="0.25">
      <c r="C33" t="s">
        <v>11</v>
      </c>
      <c r="E33" s="1">
        <v>3427</v>
      </c>
      <c r="F33" t="s">
        <v>3</v>
      </c>
      <c r="G33" t="s">
        <v>13</v>
      </c>
      <c r="H33" s="1">
        <v>3090</v>
      </c>
      <c r="I33" t="s">
        <v>3</v>
      </c>
    </row>
    <row r="34" spans="3:9" x14ac:dyDescent="0.25">
      <c r="C34" t="s">
        <v>86</v>
      </c>
      <c r="E34" s="1">
        <v>2370</v>
      </c>
      <c r="F34" t="s">
        <v>3</v>
      </c>
      <c r="G34" t="s">
        <v>14</v>
      </c>
      <c r="H34" s="1">
        <v>2875</v>
      </c>
      <c r="I34" t="s">
        <v>3</v>
      </c>
    </row>
    <row r="35" spans="3:9" x14ac:dyDescent="0.25">
      <c r="C35" t="s">
        <v>12</v>
      </c>
      <c r="E35" s="5">
        <f>E33-G24*(E33-E34)</f>
        <v>2581.4</v>
      </c>
      <c r="F35" t="s">
        <v>3</v>
      </c>
      <c r="G35" t="s">
        <v>15</v>
      </c>
      <c r="H35" s="1">
        <v>2650</v>
      </c>
      <c r="I35" t="s">
        <v>3</v>
      </c>
    </row>
    <row r="37" spans="3:9" x14ac:dyDescent="0.25">
      <c r="C37" s="15" t="s">
        <v>8</v>
      </c>
      <c r="H37" s="14" t="s">
        <v>43</v>
      </c>
    </row>
    <row r="38" spans="3:9" x14ac:dyDescent="0.25">
      <c r="C38" t="s">
        <v>84</v>
      </c>
      <c r="G38" t="s">
        <v>16</v>
      </c>
      <c r="H38" s="1">
        <v>670.5</v>
      </c>
      <c r="I38" t="s">
        <v>3</v>
      </c>
    </row>
    <row r="39" spans="3:9" x14ac:dyDescent="0.25">
      <c r="C39" t="s">
        <v>85</v>
      </c>
      <c r="E39" s="13">
        <f>H38+(D29*(H33-H39)/G29)</f>
        <v>943.17499999999995</v>
      </c>
      <c r="F39" t="s">
        <v>3</v>
      </c>
      <c r="G39" t="s">
        <v>17</v>
      </c>
      <c r="H39" s="1">
        <v>908.6</v>
      </c>
      <c r="I39" t="s">
        <v>3</v>
      </c>
    </row>
    <row r="41" spans="3:9" x14ac:dyDescent="0.25">
      <c r="C41" s="15" t="s">
        <v>18</v>
      </c>
    </row>
    <row r="42" spans="3:9" x14ac:dyDescent="0.25">
      <c r="C42" t="s">
        <v>83</v>
      </c>
    </row>
    <row r="43" spans="3:9" x14ac:dyDescent="0.25">
      <c r="C43" t="s">
        <v>24</v>
      </c>
      <c r="D43" s="1">
        <f>(G29*(H38-D30)+D29*(D30-H39))/(H34-D30)</f>
        <v>8.7690890481064478</v>
      </c>
      <c r="E43" t="s">
        <v>1</v>
      </c>
    </row>
    <row r="44" spans="3:9" x14ac:dyDescent="0.25">
      <c r="H44" s="14" t="s">
        <v>43</v>
      </c>
    </row>
    <row r="45" spans="3:9" x14ac:dyDescent="0.25">
      <c r="G45" t="s">
        <v>21</v>
      </c>
      <c r="H45" s="1">
        <v>391.7</v>
      </c>
      <c r="I45" t="s">
        <v>3</v>
      </c>
    </row>
    <row r="46" spans="3:9" x14ac:dyDescent="0.25">
      <c r="C46" s="15" t="s">
        <v>19</v>
      </c>
      <c r="G46" t="s">
        <v>22</v>
      </c>
      <c r="H46" s="1">
        <v>467.2</v>
      </c>
      <c r="I46" t="s">
        <v>3</v>
      </c>
    </row>
    <row r="47" spans="3:9" x14ac:dyDescent="0.25">
      <c r="C47" t="s">
        <v>20</v>
      </c>
    </row>
    <row r="48" spans="3:9" x14ac:dyDescent="0.25">
      <c r="C48" t="s">
        <v>23</v>
      </c>
      <c r="D48" s="1">
        <f>((G29-D29-D43)*(D30-H45))/(H35-H46)</f>
        <v>1.7987086159232442</v>
      </c>
      <c r="E48" t="s">
        <v>1</v>
      </c>
      <c r="F48" s="14"/>
    </row>
    <row r="49" spans="2:7" x14ac:dyDescent="0.25">
      <c r="C49" s="10" t="s">
        <v>92</v>
      </c>
      <c r="D49" s="1">
        <f>G29-D29-D43</f>
        <v>96.230910951893549</v>
      </c>
      <c r="E49" t="s">
        <v>1</v>
      </c>
    </row>
    <row r="50" spans="2:7" x14ac:dyDescent="0.25">
      <c r="C50" s="15" t="s">
        <v>25</v>
      </c>
    </row>
    <row r="51" spans="2:7" x14ac:dyDescent="0.25">
      <c r="C51" t="s">
        <v>26</v>
      </c>
      <c r="D51" t="s">
        <v>27</v>
      </c>
    </row>
    <row r="52" spans="2:7" x14ac:dyDescent="0.25">
      <c r="B52" s="14"/>
      <c r="C52" t="s">
        <v>26</v>
      </c>
      <c r="D52" s="1">
        <f>G29*(E33-H33)+(G29-D29)*(H33-H34)+(G29-D29-D43)*(H34-H35)+(G29-D29-D43-D48)*(H35-E35)</f>
        <v>91145.004044423607</v>
      </c>
      <c r="E52" t="s">
        <v>30</v>
      </c>
      <c r="F52" s="1">
        <f>D52/1000</f>
        <v>91.145004044423601</v>
      </c>
      <c r="G52" t="s">
        <v>31</v>
      </c>
    </row>
    <row r="53" spans="2:7" x14ac:dyDescent="0.25">
      <c r="C53" t="s">
        <v>28</v>
      </c>
      <c r="D53" s="13">
        <f>F52*G25*G26</f>
        <v>86.642440844629078</v>
      </c>
      <c r="E53" t="s">
        <v>31</v>
      </c>
    </row>
    <row r="55" spans="2:7" x14ac:dyDescent="0.25">
      <c r="C55" s="15" t="s">
        <v>29</v>
      </c>
    </row>
    <row r="56" spans="2:7" x14ac:dyDescent="0.25">
      <c r="C56" t="s">
        <v>32</v>
      </c>
      <c r="D56" s="1">
        <f>G29*(E33-E39)</f>
        <v>298059</v>
      </c>
      <c r="E56" t="s">
        <v>30</v>
      </c>
      <c r="F56" s="13">
        <f>D56/1000</f>
        <v>298.05900000000003</v>
      </c>
      <c r="G56" t="s">
        <v>31</v>
      </c>
    </row>
    <row r="57" spans="2:7" x14ac:dyDescent="0.25">
      <c r="C57" t="s">
        <v>33</v>
      </c>
      <c r="D57" s="1">
        <f>D56/G27</f>
        <v>323977.17391304346</v>
      </c>
      <c r="E57" t="s">
        <v>30</v>
      </c>
      <c r="F57" s="13">
        <f>D57/1000</f>
        <v>323.97717391304343</v>
      </c>
      <c r="G57" t="s">
        <v>31</v>
      </c>
    </row>
    <row r="58" spans="2:7" x14ac:dyDescent="0.25">
      <c r="C58" t="s">
        <v>34</v>
      </c>
      <c r="D58" s="16">
        <f>D53/F57</f>
        <v>0.26743378182527205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2:K46"/>
  <sheetViews>
    <sheetView zoomScale="85" zoomScaleNormal="85" workbookViewId="0">
      <selection activeCell="G40" sqref="G40"/>
    </sheetView>
  </sheetViews>
  <sheetFormatPr defaultRowHeight="15" x14ac:dyDescent="0.25"/>
  <cols>
    <col min="2" max="2" width="11.28515625" customWidth="1"/>
    <col min="3" max="3" width="16.28515625" customWidth="1"/>
    <col min="4" max="4" width="9.42578125" customWidth="1"/>
    <col min="5" max="5" width="9.7109375" bestFit="1" customWidth="1"/>
    <col min="6" max="6" width="15.85546875" customWidth="1"/>
  </cols>
  <sheetData>
    <row r="22" spans="2:11" x14ac:dyDescent="0.25">
      <c r="B22" s="10" t="s">
        <v>66</v>
      </c>
      <c r="C22" s="8">
        <v>1.5</v>
      </c>
      <c r="D22" s="2" t="s">
        <v>1</v>
      </c>
      <c r="E22" t="s">
        <v>67</v>
      </c>
      <c r="F22" s="8">
        <v>0.14000000000000001</v>
      </c>
      <c r="G22" s="2" t="s">
        <v>1</v>
      </c>
      <c r="H22" s="2"/>
      <c r="I22" s="2" t="s">
        <v>53</v>
      </c>
      <c r="J22" s="8">
        <v>4.18</v>
      </c>
      <c r="K22" t="s">
        <v>3</v>
      </c>
    </row>
    <row r="23" spans="2:11" x14ac:dyDescent="0.25">
      <c r="B23" s="10"/>
      <c r="C23" s="2"/>
      <c r="D23" s="2"/>
      <c r="E23" s="10" t="s">
        <v>68</v>
      </c>
      <c r="F23" s="8">
        <v>10</v>
      </c>
      <c r="G23" s="7" t="s">
        <v>52</v>
      </c>
      <c r="H23" s="2"/>
      <c r="I23" t="s">
        <v>78</v>
      </c>
      <c r="J23" s="8">
        <v>1000</v>
      </c>
      <c r="K23" t="s">
        <v>79</v>
      </c>
    </row>
    <row r="24" spans="2:11" x14ac:dyDescent="0.25">
      <c r="B24" s="2"/>
      <c r="C24" s="2"/>
      <c r="D24" s="2"/>
      <c r="E24" s="10" t="s">
        <v>69</v>
      </c>
      <c r="F24" s="8">
        <v>4.8499999999999996</v>
      </c>
      <c r="G24" s="7" t="s">
        <v>70</v>
      </c>
      <c r="H24" s="1">
        <f>F24*J23/60</f>
        <v>80.833333333333329</v>
      </c>
      <c r="I24" t="s">
        <v>1</v>
      </c>
    </row>
    <row r="25" spans="2:11" x14ac:dyDescent="0.25">
      <c r="C25" s="2"/>
      <c r="D25" s="2"/>
      <c r="E25" t="s">
        <v>75</v>
      </c>
      <c r="F25" s="8">
        <v>42300</v>
      </c>
      <c r="G25" s="7" t="s">
        <v>3</v>
      </c>
      <c r="H25" s="2"/>
    </row>
    <row r="27" spans="2:11" x14ac:dyDescent="0.25">
      <c r="C27" s="17" t="s">
        <v>10</v>
      </c>
      <c r="D27" s="17"/>
      <c r="E27" s="17"/>
      <c r="F27" s="20" t="s">
        <v>64</v>
      </c>
      <c r="G27" s="21"/>
    </row>
    <row r="28" spans="2:11" x14ac:dyDescent="0.25">
      <c r="C28" s="2" t="s">
        <v>87</v>
      </c>
      <c r="D28" s="1">
        <v>604.79999999999995</v>
      </c>
      <c r="E28" s="2" t="s">
        <v>3</v>
      </c>
      <c r="F28" t="s">
        <v>74</v>
      </c>
      <c r="G28" s="1">
        <v>3215</v>
      </c>
      <c r="H28" t="s">
        <v>3</v>
      </c>
    </row>
    <row r="29" spans="2:11" x14ac:dyDescent="0.25">
      <c r="C29" s="2" t="s">
        <v>65</v>
      </c>
      <c r="D29" s="1">
        <v>2801.4</v>
      </c>
      <c r="E29" s="2" t="s">
        <v>3</v>
      </c>
      <c r="F29" s="2" t="s">
        <v>90</v>
      </c>
      <c r="G29" s="5">
        <f>439.2</f>
        <v>439.2</v>
      </c>
      <c r="H29" s="7" t="s">
        <v>3</v>
      </c>
    </row>
    <row r="30" spans="2:11" x14ac:dyDescent="0.25">
      <c r="F30" s="2"/>
      <c r="G30" s="2"/>
      <c r="H30" s="2"/>
    </row>
    <row r="31" spans="2:11" x14ac:dyDescent="0.25">
      <c r="C31" s="17" t="s">
        <v>55</v>
      </c>
      <c r="D31" s="12"/>
    </row>
    <row r="32" spans="2:11" x14ac:dyDescent="0.25">
      <c r="C32" t="s">
        <v>88</v>
      </c>
    </row>
    <row r="33" spans="3:5" x14ac:dyDescent="0.25">
      <c r="C33" t="s">
        <v>71</v>
      </c>
      <c r="D33" s="1">
        <f>C22*((D28-G29)/(D29-D28))</f>
        <v>0.11308385686970771</v>
      </c>
      <c r="E33" s="6" t="s">
        <v>1</v>
      </c>
    </row>
    <row r="34" spans="3:5" x14ac:dyDescent="0.25">
      <c r="C34" t="s">
        <v>72</v>
      </c>
      <c r="D34" s="1">
        <f>D33+C22</f>
        <v>1.6130838568697077</v>
      </c>
      <c r="E34" s="6" t="s">
        <v>1</v>
      </c>
    </row>
    <row r="35" spans="3:5" x14ac:dyDescent="0.25">
      <c r="D35" s="2"/>
      <c r="E35" s="6"/>
    </row>
    <row r="36" spans="3:5" x14ac:dyDescent="0.25">
      <c r="C36" s="12" t="s">
        <v>29</v>
      </c>
    </row>
    <row r="37" spans="3:5" x14ac:dyDescent="0.25">
      <c r="C37" s="2" t="s">
        <v>89</v>
      </c>
    </row>
    <row r="38" spans="3:5" x14ac:dyDescent="0.25">
      <c r="C38" s="2" t="s">
        <v>73</v>
      </c>
      <c r="D38" s="19">
        <f>(D33*(D29-D28)+C22*(G28-D28))/(F22*F25)</f>
        <v>0.7030901722391083</v>
      </c>
    </row>
    <row r="40" spans="3:5" x14ac:dyDescent="0.25">
      <c r="C40" s="12" t="s">
        <v>76</v>
      </c>
    </row>
    <row r="41" spans="3:5" x14ac:dyDescent="0.25">
      <c r="C41" t="s">
        <v>91</v>
      </c>
    </row>
    <row r="42" spans="3:5" x14ac:dyDescent="0.25">
      <c r="C42" t="s">
        <v>77</v>
      </c>
      <c r="D42" s="1">
        <f>((H24*J22*F23)+C22*G29)/C22</f>
        <v>2691.755555555555</v>
      </c>
      <c r="E42" t="s">
        <v>3</v>
      </c>
    </row>
    <row r="44" spans="3:5" x14ac:dyDescent="0.25">
      <c r="C44" s="12" t="s">
        <v>25</v>
      </c>
    </row>
    <row r="45" spans="3:5" x14ac:dyDescent="0.25">
      <c r="C45" t="s">
        <v>81</v>
      </c>
      <c r="D45">
        <v>2480</v>
      </c>
      <c r="E45" t="s">
        <v>3</v>
      </c>
    </row>
    <row r="46" spans="3:5" x14ac:dyDescent="0.25">
      <c r="C46" t="s">
        <v>80</v>
      </c>
      <c r="D46" s="16">
        <f>((G28-D42)/(G28-D45))</f>
        <v>0.71189720332577544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Steam Cycle (reheat)</vt:lpstr>
      <vt:lpstr>Steam cycle (extractions)</vt:lpstr>
      <vt:lpstr>Steam cycle (backpressure)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2017-02-04T20:13:29Z</dcterms:modified>
</cp:coreProperties>
</file>